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https://accountabilitymn.sharepoint.com/sites/PandPgeneral/Data/Tax + Financial Services/Self Employed Program/Self-Employment Resources/Updated 2023/"/>
    </mc:Choice>
  </mc:AlternateContent>
  <xr:revisionPtr revIDLastSave="3118" documentId="8_{B8AF3D26-8294-4BAC-938A-3B3056F8D7ED}" xr6:coauthVersionLast="47" xr6:coauthVersionMax="47" xr10:uidLastSave="{B3EABE39-F370-4BA8-97DA-5B52F1365860}"/>
  <bookViews>
    <workbookView xWindow="20670" yWindow="1425" windowWidth="20460" windowHeight="11070" xr2:uid="{00000000-000D-0000-FFFF-FFFF00000000}"/>
  </bookViews>
  <sheets>
    <sheet name="IncomeExpense Sheet" sheetId="5" r:id="rId1"/>
    <sheet name="Math Sheet Hidden" sheetId="4"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3" i="4" l="1"/>
  <c r="I3" i="4"/>
  <c r="I11" i="4" s="1"/>
  <c r="H18" i="4"/>
  <c r="I18" i="4" s="1"/>
  <c r="C8" i="4" s="1"/>
  <c r="H19" i="4"/>
  <c r="I19" i="4" s="1"/>
  <c r="E10" i="4" s="1"/>
  <c r="H20" i="4"/>
  <c r="I20" i="4" s="1"/>
  <c r="H21" i="4"/>
  <c r="I21" i="4" s="1"/>
  <c r="H17" i="4"/>
  <c r="I17" i="4" s="1"/>
  <c r="K48" i="4"/>
  <c r="G29" i="4" a="1"/>
  <c r="G29" i="4" s="1"/>
  <c r="F29" i="4" a="1"/>
  <c r="F29" i="4" s="1"/>
  <c r="E29" i="4" a="1"/>
  <c r="E29" i="4" s="1"/>
  <c r="D29" i="4" a="1"/>
  <c r="D29" i="4" s="1"/>
  <c r="C29" i="4" s="1" a="1"/>
  <c r="C29" i="4" s="1"/>
  <c r="G28" i="4" a="1"/>
  <c r="G28" i="4" s="1"/>
  <c r="F28" i="4" a="1"/>
  <c r="F28" i="4" s="1"/>
  <c r="E28" i="4" a="1"/>
  <c r="E28" i="4" s="1"/>
  <c r="D28" i="4" a="1"/>
  <c r="D28" i="4" s="1"/>
  <c r="C28" i="4" s="1" a="1"/>
  <c r="C28" i="4" s="1"/>
  <c r="L17" i="4"/>
  <c r="M14" i="4" a="1"/>
  <c r="M14" i="4" s="1"/>
  <c r="L14" i="4"/>
  <c r="I14" i="4"/>
  <c r="J3" i="4"/>
  <c r="J39" i="4" a="1"/>
  <c r="J39" i="4" s="1"/>
  <c r="H3" i="4"/>
  <c r="A28" i="4" a="1"/>
  <c r="A28" i="4" s="1"/>
  <c r="C10" i="4" l="1"/>
  <c r="G14" i="4"/>
  <c r="G11" i="4"/>
  <c r="E8" i="4"/>
  <c r="D10" i="4"/>
  <c r="B10" i="4"/>
  <c r="D8" i="4"/>
  <c r="B8" i="4"/>
  <c r="J31" i="4" a="1"/>
  <c r="J31" i="4" s="1"/>
  <c r="J30" i="4" a="1"/>
  <c r="J30" i="4" s="1"/>
  <c r="J32" i="4" a="1"/>
  <c r="J32" i="4" s="1"/>
  <c r="J29" i="4" a="1"/>
  <c r="J29" i="4" s="1"/>
  <c r="J33" i="4" a="1"/>
  <c r="J33" i="4" s="1"/>
  <c r="J35" i="4" a="1"/>
  <c r="J35" i="4" s="1"/>
  <c r="J38" i="4" a="1"/>
  <c r="J38" i="4" s="1"/>
  <c r="J40" i="4" a="1"/>
  <c r="J40" i="4" s="1"/>
  <c r="J34" i="4" a="1"/>
  <c r="J34" i="4" s="1"/>
  <c r="J37" i="4" a="1"/>
  <c r="J37" i="4" s="1"/>
  <c r="D32" i="4"/>
  <c r="K38" i="4"/>
  <c r="K39" i="4"/>
  <c r="K40" i="4"/>
  <c r="K37" i="4"/>
  <c r="K30" i="4"/>
  <c r="K31" i="4"/>
  <c r="K32" i="4"/>
  <c r="K33" i="4"/>
  <c r="K34" i="4"/>
  <c r="K35" i="4"/>
  <c r="K29" i="4"/>
  <c r="I4" i="4"/>
  <c r="J4" i="4"/>
  <c r="S1" i="4"/>
  <c r="E52" i="5" s="1"/>
  <c r="T1" i="4"/>
  <c r="F52" i="5" s="1"/>
  <c r="U1" i="4"/>
  <c r="G52" i="5" s="1"/>
  <c r="V1" i="4"/>
  <c r="H52" i="5" s="1"/>
  <c r="W1" i="4"/>
  <c r="I52" i="5" s="1"/>
  <c r="X1" i="4"/>
  <c r="J52" i="5" s="1"/>
  <c r="Y1" i="4"/>
  <c r="K52" i="5" s="1"/>
  <c r="Z1" i="4"/>
  <c r="L52" i="5" s="1"/>
  <c r="AA1" i="4"/>
  <c r="M52" i="5" s="1"/>
  <c r="AB1" i="4"/>
  <c r="N52" i="5" s="1"/>
  <c r="AC1" i="4"/>
  <c r="O52" i="5" s="1"/>
  <c r="R1" i="4"/>
  <c r="G32" i="4"/>
  <c r="G31" i="4"/>
  <c r="F32" i="4"/>
  <c r="F31" i="4"/>
  <c r="E32" i="4"/>
  <c r="E31" i="4"/>
  <c r="D31" i="4"/>
  <c r="C31" i="4" s="1" a="1"/>
  <c r="C31" i="4" s="1"/>
  <c r="G30" i="4"/>
  <c r="F30" i="4"/>
  <c r="E30" i="4"/>
  <c r="D30" i="4"/>
  <c r="C30" i="4" s="1" a="1"/>
  <c r="C30" i="4" s="1"/>
  <c r="O30" i="5"/>
  <c r="N30" i="5"/>
  <c r="M30" i="5"/>
  <c r="L30" i="5"/>
  <c r="K30" i="5"/>
  <c r="J30" i="5"/>
  <c r="I30" i="5"/>
  <c r="H30" i="5"/>
  <c r="G30" i="5"/>
  <c r="F30" i="5"/>
  <c r="E30" i="5"/>
  <c r="D30" i="5"/>
  <c r="L37" i="4" l="1"/>
  <c r="L29" i="4"/>
  <c r="F10" i="4"/>
  <c r="F8" i="4"/>
  <c r="P15" i="4"/>
  <c r="A31" i="4"/>
  <c r="A29" i="4" s="1"/>
  <c r="M16" i="4"/>
  <c r="AD1" i="4"/>
  <c r="D52" i="5"/>
  <c r="D54" i="5" s="1"/>
  <c r="E38" i="4"/>
  <c r="D37" i="4"/>
  <c r="E54" i="5"/>
  <c r="I54" i="5"/>
  <c r="M54" i="5"/>
  <c r="G54" i="5"/>
  <c r="K54" i="5"/>
  <c r="O54" i="5"/>
  <c r="H54" i="5"/>
  <c r="L54" i="5"/>
  <c r="F54" i="5"/>
  <c r="J54" i="5"/>
  <c r="N54" i="5"/>
  <c r="D5" i="4" l="1"/>
  <c r="B5" i="4"/>
  <c r="B6" i="4" s="1"/>
  <c r="C5" i="4"/>
  <c r="E5" i="4"/>
  <c r="L34" i="4"/>
  <c r="L39" i="4"/>
  <c r="L33" i="4"/>
  <c r="L30" i="4"/>
  <c r="L31" i="4"/>
  <c r="L32" i="4"/>
  <c r="L38" i="4"/>
  <c r="G38" i="4"/>
  <c r="F38" i="4"/>
  <c r="D38" i="4"/>
  <c r="F37" i="4"/>
  <c r="E37" i="4"/>
  <c r="G37" i="4"/>
  <c r="C6" i="4" l="1"/>
  <c r="F5" i="4"/>
  <c r="D6" i="4" l="1"/>
  <c r="B9" i="4"/>
  <c r="B11" i="4"/>
  <c r="B12" i="4" s="1"/>
  <c r="B15" i="4" s="1" a="1"/>
  <c r="B15" i="4" s="1"/>
  <c r="H6" i="4" l="1"/>
  <c r="D35" i="4"/>
  <c r="B13" i="4"/>
  <c r="B16" i="4" s="1" a="1"/>
  <c r="B16" i="4" s="1"/>
  <c r="L21" i="4"/>
  <c r="L22" i="4" s="1"/>
  <c r="D34" i="4"/>
  <c r="D9" i="4"/>
  <c r="C9" i="4"/>
  <c r="C11" i="4"/>
  <c r="D36" i="4" l="1"/>
  <c r="I6" i="4"/>
  <c r="J6" i="4" s="1"/>
  <c r="D11" i="4"/>
  <c r="E6" i="4"/>
  <c r="E35" i="4"/>
  <c r="F35" i="4" s="1"/>
  <c r="E34" i="4"/>
  <c r="M21" i="4"/>
  <c r="M22" i="4" s="1"/>
  <c r="C12" i="4"/>
  <c r="C15" i="4" s="1" a="1"/>
  <c r="C15" i="4" s="1"/>
  <c r="C13" i="4"/>
  <c r="C16" i="4" s="1" a="1"/>
  <c r="C16" i="4" s="1"/>
  <c r="E11" i="4" l="1"/>
  <c r="F11" i="4" s="1"/>
  <c r="E9" i="4"/>
  <c r="F9" i="4" s="1"/>
  <c r="F6" i="4"/>
  <c r="E36" i="4"/>
  <c r="F34" i="4"/>
  <c r="F36" i="4" s="1"/>
  <c r="D12" i="4"/>
  <c r="D15" i="4" s="1" a="1"/>
  <c r="D15" i="4" s="1"/>
  <c r="N21" i="4"/>
  <c r="N22" i="4" s="1"/>
  <c r="D13" i="4"/>
  <c r="D16" i="4" s="1" a="1"/>
  <c r="D16" i="4" s="1"/>
  <c r="H4" i="4" l="1"/>
  <c r="K6" i="4"/>
  <c r="P12" i="4"/>
  <c r="N14" i="4" s="1"/>
  <c r="E12" i="4"/>
  <c r="F12" i="4" s="1"/>
  <c r="G35" i="4"/>
  <c r="O21" i="4"/>
  <c r="O22" i="4" s="1"/>
  <c r="E13" i="4"/>
  <c r="G34" i="4"/>
  <c r="E15" i="4" l="1" a="1"/>
  <c r="E15" i="4" s="1"/>
  <c r="G36" i="4"/>
  <c r="E16" i="4" a="1"/>
  <c r="E16" i="4" s="1"/>
  <c r="F13" i="4"/>
  <c r="L23" i="4"/>
  <c r="L6" i="4" s="1"/>
  <c r="F15" i="4" l="1"/>
  <c r="B21" i="4"/>
  <c r="M23" i="4"/>
  <c r="M6" i="4" l="1"/>
  <c r="C21" i="4" s="1"/>
  <c r="N23" i="4"/>
  <c r="O23" i="4" l="1"/>
  <c r="O6" i="4" s="1"/>
  <c r="N6" i="4"/>
  <c r="P23" i="4" l="1"/>
  <c r="P6" i="4"/>
  <c r="E21" i="4"/>
  <c r="D21" i="4"/>
  <c r="F16" i="4"/>
  <c r="F21" i="4" l="1"/>
  <c r="S6" i="4" l="1"/>
  <c r="H23" i="4"/>
  <c r="I23" i="4" s="1"/>
  <c r="B23" i="4" l="1"/>
  <c r="D15" i="5" s="1"/>
  <c r="C23" i="4"/>
  <c r="F15" i="5" s="1"/>
  <c r="E23" i="4"/>
  <c r="J15" i="5" s="1"/>
  <c r="D23" i="4"/>
  <c r="H15" i="5" s="1"/>
  <c r="G39" i="4" a="1"/>
  <c r="G39" i="4" s="1"/>
  <c r="G40" i="4" s="1"/>
  <c r="D39" i="4" l="1" a="1"/>
  <c r="D39" i="4" s="1"/>
  <c r="D40" i="4" s="1"/>
  <c r="D41" i="4" s="1"/>
  <c r="L5" i="4" l="1"/>
  <c r="B20" i="4" s="1"/>
  <c r="F39" i="4" a="1"/>
  <c r="F39" i="4" s="1"/>
  <c r="F40" i="4" s="1"/>
  <c r="E39" i="4" a="1"/>
  <c r="E39" i="4" s="1"/>
  <c r="E40" i="4" s="1"/>
  <c r="E41" i="4" s="1"/>
  <c r="M5" i="4" s="1"/>
  <c r="C20" i="4" l="1"/>
  <c r="F41" i="4"/>
  <c r="N5" i="4" s="1"/>
  <c r="G41" i="4" l="1"/>
  <c r="O5" i="4" s="1"/>
  <c r="E20" i="4" l="1"/>
  <c r="D20" i="4"/>
  <c r="P5" i="4"/>
  <c r="S5" i="4" s="1"/>
  <c r="F20" i="4" l="1"/>
  <c r="H22" i="4" s="1"/>
  <c r="I22" i="4" s="1"/>
  <c r="B22" i="4" l="1"/>
  <c r="D14" i="5" s="1"/>
  <c r="C22" i="4"/>
  <c r="F14" i="5" s="1"/>
  <c r="D22" i="4"/>
  <c r="H14" i="5" s="1"/>
  <c r="E22" i="4"/>
  <c r="J1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<sst xmlns="http://schemas.openxmlformats.org/spreadsheetml/2006/main" count="238" uniqueCount="154">
  <si>
    <r>
      <t xml:space="preserve">P+P Income/Expense Tracker and Tax Estimator
</t>
    </r>
    <r>
      <rPr>
        <sz val="11"/>
        <color theme="1"/>
        <rFont val="Arial"/>
        <family val="2"/>
      </rPr>
      <t xml:space="preserve">Use this worksheet to record your monthly income and expenses. It will also estimate how much tax you should pay each quarter. The more information you enter, the more accurate the estimate. However, you can enter rough numbers to get your estimate.
</t>
    </r>
    <r>
      <rPr>
        <i/>
        <sz val="11"/>
        <color theme="1"/>
        <rFont val="Arial"/>
        <family val="2"/>
      </rPr>
      <t>It should not be used if your income exceeds Prepare + Prosper income guidelines as it will underestimate tax owed at higher incomes.</t>
    </r>
    <r>
      <rPr>
        <sz val="11"/>
        <color theme="1"/>
        <rFont val="Arial"/>
        <family val="2"/>
      </rPr>
      <t xml:space="preserve">
Select your marital status from the dropdown and enter the number of dependents you have.</t>
    </r>
  </si>
  <si>
    <r>
      <t xml:space="preserve">Use this worksheet to record your monthly income and expenses. It will also calculate how much you should pay in estimated taxes each quarter. The more information you enter, the more accurate the estimate. This tool is designed to assist in making estimated tax payments and should not be relied on to determine an amount owed.
</t>
    </r>
    <r>
      <rPr>
        <b/>
        <sz val="11"/>
        <color theme="1"/>
        <rFont val="Verdana"/>
        <family val="2"/>
        <scheme val="minor"/>
      </rPr>
      <t xml:space="preserve">If a number doesn't seem to display properly, try adjusting your zoom or enlarging the column.
</t>
    </r>
    <r>
      <rPr>
        <i/>
        <u/>
        <sz val="11"/>
        <color theme="1"/>
        <rFont val="Verdana"/>
        <family val="2"/>
        <scheme val="minor"/>
      </rPr>
      <t>This tool should not be used if your income exceeds Prepare + Prosper income guidelines as it will underestimate tax owed at higher incomes.</t>
    </r>
  </si>
  <si>
    <t>Enter your age, select if you have an ITIN, select your marital status, and enter the number of dependents you have.</t>
  </si>
  <si>
    <t>AGE</t>
  </si>
  <si>
    <t>ITIN?</t>
  </si>
  <si>
    <t>Marital Status</t>
  </si>
  <si>
    <t>Kids younger than 17</t>
  </si>
  <si>
    <t>Older children</t>
  </si>
  <si>
    <t>Quick Estimator</t>
  </si>
  <si>
    <t>Enter year-end estimate for quick payment calculation.</t>
  </si>
  <si>
    <t>Business Profit</t>
  </si>
  <si>
    <t>Estimated Tax Payments to make Tax Year 2023</t>
  </si>
  <si>
    <t>Wages/Salary</t>
  </si>
  <si>
    <t>Apr Payment</t>
  </si>
  <si>
    <t>Jun Payment</t>
  </si>
  <si>
    <t>Sep Payment</t>
  </si>
  <si>
    <t>Jan Payment</t>
  </si>
  <si>
    <t>Other Income</t>
  </si>
  <si>
    <t>Fed</t>
  </si>
  <si>
    <t>Fed Withholding</t>
  </si>
  <si>
    <t>MN</t>
  </si>
  <si>
    <t>MN Withholding</t>
  </si>
  <si>
    <r>
      <rPr>
        <b/>
        <i/>
        <sz val="11"/>
        <color theme="1"/>
        <rFont val="Arial"/>
        <family val="2"/>
      </rPr>
      <t>Do not enter any estimated payment you have already made. The sheet just calculates what the payment should have been.</t>
    </r>
    <r>
      <rPr>
        <i/>
        <sz val="11"/>
        <color theme="1"/>
        <rFont val="Arial"/>
        <family val="2"/>
      </rPr>
      <t xml:space="preserve">
Estimated Tax Payments are generally due the 15th. If due date falls on a weekend or holiday, they are due the next business day.</t>
    </r>
  </si>
  <si>
    <t>Non-Business Income</t>
  </si>
  <si>
    <t>Jan</t>
  </si>
  <si>
    <t>Feb</t>
  </si>
  <si>
    <t>Mar</t>
  </si>
  <si>
    <t>Apr</t>
  </si>
  <si>
    <t>May</t>
  </si>
  <si>
    <t>Jun</t>
  </si>
  <si>
    <t>Jul</t>
  </si>
  <si>
    <t>Aug</t>
  </si>
  <si>
    <t>Sep</t>
  </si>
  <si>
    <t>Oct</t>
  </si>
  <si>
    <t>Nov</t>
  </si>
  <si>
    <t>Dec</t>
  </si>
  <si>
    <t>Other (Pension, IRA, etc)</t>
  </si>
  <si>
    <t>Federal Withholding</t>
  </si>
  <si>
    <t>Minnesota Withholding</t>
  </si>
  <si>
    <t>Business Income and Expenses</t>
  </si>
  <si>
    <t xml:space="preserve">INCOME </t>
  </si>
  <si>
    <t xml:space="preserve">Gross Receipts </t>
  </si>
  <si>
    <t xml:space="preserve">Other </t>
  </si>
  <si>
    <t>TOTAL GROSS INCOME</t>
  </si>
  <si>
    <t xml:space="preserve">
    </t>
  </si>
  <si>
    <t>EXPENSES</t>
  </si>
  <si>
    <t>Advertising</t>
  </si>
  <si>
    <t>Contract Labor</t>
  </si>
  <si>
    <t>Commissions/Fees</t>
  </si>
  <si>
    <t>Postage/Shipping</t>
  </si>
  <si>
    <t>Business Insurance</t>
  </si>
  <si>
    <t>Interest</t>
  </si>
  <si>
    <t>Legal/Professional</t>
  </si>
  <si>
    <t>Office Supplies</t>
  </si>
  <si>
    <t>Equipment Rental</t>
  </si>
  <si>
    <t>Office Space Rental</t>
  </si>
  <si>
    <t>Repairs/Maintenance</t>
  </si>
  <si>
    <t>Other Supplies/Materials</t>
  </si>
  <si>
    <t>Business Licenses</t>
  </si>
  <si>
    <t>Sales Tax Paid</t>
  </si>
  <si>
    <t>Cell Phone Plan</t>
  </si>
  <si>
    <t>Safety Equipment/PPE</t>
  </si>
  <si>
    <t>Car Business Miles</t>
  </si>
  <si>
    <t>Business Travel</t>
  </si>
  <si>
    <t>Other</t>
  </si>
  <si>
    <t>TOTAL EXPENSES</t>
  </si>
  <si>
    <t>PROFIT/LOSS</t>
  </si>
  <si>
    <t>Car Business Miles Driven</t>
  </si>
  <si>
    <t>CTC</t>
  </si>
  <si>
    <t>COD</t>
  </si>
  <si>
    <t>MN Exemp</t>
  </si>
  <si>
    <t>total</t>
  </si>
  <si>
    <t>Withholding</t>
  </si>
  <si>
    <t>April</t>
  </si>
  <si>
    <t>June</t>
  </si>
  <si>
    <t>Sept</t>
  </si>
  <si>
    <t>totals</t>
  </si>
  <si>
    <t>Refund</t>
  </si>
  <si>
    <t>Profit</t>
  </si>
  <si>
    <t>CTC Limit</t>
  </si>
  <si>
    <t>SE tax</t>
  </si>
  <si>
    <t>Lower</t>
  </si>
  <si>
    <t>Wages</t>
  </si>
  <si>
    <t>Earned Inc</t>
  </si>
  <si>
    <t>Other Inc</t>
  </si>
  <si>
    <t>IRS Deduct</t>
  </si>
  <si>
    <t>HOH diff</t>
  </si>
  <si>
    <t>AGI</t>
  </si>
  <si>
    <t>MN WFC</t>
  </si>
  <si>
    <t>IRS Taxable</t>
  </si>
  <si>
    <t>MN CTC</t>
  </si>
  <si>
    <t>MN Taxable</t>
  </si>
  <si>
    <t>MN deduct</t>
  </si>
  <si>
    <t>Young</t>
  </si>
  <si>
    <t>Old</t>
  </si>
  <si>
    <t>Age limiter</t>
  </si>
  <si>
    <t>IRS Tax</t>
  </si>
  <si>
    <t>MN Tax</t>
  </si>
  <si>
    <t>annual</t>
  </si>
  <si>
    <t>quarterly</t>
  </si>
  <si>
    <t>Phaseout</t>
  </si>
  <si>
    <t>Estimates</t>
  </si>
  <si>
    <t>Fed With</t>
  </si>
  <si>
    <t>MN With</t>
  </si>
  <si>
    <t>AGIOver</t>
  </si>
  <si>
    <t>Fed Estimate</t>
  </si>
  <si>
    <t>MN Estimate</t>
  </si>
  <si>
    <t>EIC Calculation!</t>
  </si>
  <si>
    <t>limit</t>
  </si>
  <si>
    <t>phase end</t>
  </si>
  <si>
    <t>Tax Rate</t>
  </si>
  <si>
    <t>bracket</t>
  </si>
  <si>
    <t>%</t>
  </si>
  <si>
    <t>max at each rate</t>
  </si>
  <si>
    <t>phase start</t>
  </si>
  <si>
    <t>IRS</t>
  </si>
  <si>
    <t>Age limter</t>
  </si>
  <si>
    <t>out</t>
  </si>
  <si>
    <t>in</t>
  </si>
  <si>
    <t>LIMITS</t>
  </si>
  <si>
    <t>start</t>
  </si>
  <si>
    <t>max/quarter</t>
  </si>
  <si>
    <t>Future Proofing Cells</t>
  </si>
  <si>
    <t>Deductions</t>
  </si>
  <si>
    <t>S/MFS</t>
  </si>
  <si>
    <t>HOH</t>
  </si>
  <si>
    <t>MFJ</t>
  </si>
  <si>
    <t>65+ MFJ</t>
  </si>
  <si>
    <t>65+ S/HOH</t>
  </si>
  <si>
    <t>EIC Age</t>
  </si>
  <si>
    <t>TP Age</t>
  </si>
  <si>
    <t>WFC Age</t>
  </si>
  <si>
    <t>Fed ACTC</t>
  </si>
  <si>
    <t>Fed CTC</t>
  </si>
  <si>
    <t>Fed COD</t>
  </si>
  <si>
    <t>EIC Tables</t>
  </si>
  <si>
    <t>Max credit</t>
  </si>
  <si>
    <t>Phase in</t>
  </si>
  <si>
    <t>earned %</t>
  </si>
  <si>
    <t>Max earned%</t>
  </si>
  <si>
    <t>max income</t>
  </si>
  <si>
    <t>Single/HOH</t>
  </si>
  <si>
    <t>% reduce</t>
  </si>
  <si>
    <t>Older kid</t>
  </si>
  <si>
    <t>S/HOH phaseout</t>
  </si>
  <si>
    <t>MFJ phaseout</t>
  </si>
  <si>
    <t>max income credit</t>
  </si>
  <si>
    <t>income amount</t>
  </si>
  <si>
    <t>credit %</t>
  </si>
  <si>
    <t>Car rate</t>
  </si>
  <si>
    <t>Brackets</t>
  </si>
  <si>
    <t>S</t>
  </si>
  <si>
    <t>HoH</t>
  </si>
  <si>
    <t>MFS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</si>
</sst>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0_);_(&quot;$&quot;* \(#,##0\);_(&quot;$&quot;* &quot;-&quot;_);_(@_)"/>
    <numFmt numFmtId="44" formatCode="_(&quot;$&quot;* #,##0.00_);_(&quot;$&quot;* \(#,##0.00\);_(&quot;$&quot;* &quot;-&quot;??_);_(@_)"/>
  </numFmts>
  <fonts count="26">
    <font>
      <sz val="11"/>
      <color theme="1"/>
      <name val="Verdana"/>
      <family val="2"/>
      <scheme val="minor"/>
    </font>
    <font>
      <sz val="10"/>
      <color theme="1"/>
      <name val="Arial"/>
      <family val="2"/>
    </font>
    <font>
      <b/>
      <sz val="10"/>
      <color theme="1"/>
      <name val="Arial Black"/>
      <family val="2"/>
    </font>
    <font>
      <sz val="10"/>
      <color theme="1"/>
      <name val="Arial Black"/>
      <family val="2"/>
    </font>
    <font>
      <sz val="10"/>
      <color indexed="8"/>
      <name val="Arial "/>
    </font>
    <font>
      <sz val="10"/>
      <color theme="1"/>
      <name val="Arial "/>
    </font>
    <font>
      <sz val="11"/>
      <color theme="1"/>
      <name val="Arial"/>
      <family val="2"/>
    </font>
    <font>
      <sz val="11"/>
      <color theme="1"/>
      <name val="Arial Black"/>
      <family val="2"/>
    </font>
    <font>
      <sz val="11"/>
      <color theme="1"/>
      <name val="Verdana"/>
      <family val="2"/>
      <scheme val="minor"/>
    </font>
    <font>
      <sz val="11"/>
      <color theme="0"/>
      <name val="Arial Black"/>
      <family val="2"/>
    </font>
    <font>
      <sz val="11"/>
      <name val="Arial Black"/>
      <family val="2"/>
    </font>
    <font>
      <sz val="10"/>
      <color theme="1"/>
      <name val="Verdana"/>
      <family val="2"/>
      <scheme val="minor"/>
    </font>
    <font>
      <b/>
      <sz val="10"/>
      <color rgb="FF3F3F3F"/>
      <name val="Verdana"/>
      <family val="2"/>
      <scheme val="minor"/>
    </font>
    <font>
      <b/>
      <sz val="10"/>
      <color theme="1"/>
      <name val="Verdana"/>
      <family val="2"/>
      <scheme val="minor"/>
    </font>
    <font>
      <sz val="11"/>
      <color theme="1"/>
      <name val="Arial Black"/>
      <family val="2"/>
      <scheme val="major"/>
    </font>
    <font>
      <i/>
      <sz val="11"/>
      <color theme="1"/>
      <name val="Arial"/>
      <family val="2"/>
    </font>
    <font>
      <sz val="8"/>
      <name val="Verdana"/>
      <family val="2"/>
      <scheme val="minor"/>
    </font>
    <font>
      <sz val="11"/>
      <name val="Verdana"/>
      <family val="2"/>
      <scheme val="minor"/>
    </font>
    <font>
      <sz val="10"/>
      <name val="Verdana"/>
      <family val="2"/>
      <scheme val="minor"/>
    </font>
    <font>
      <sz val="11"/>
      <color theme="0"/>
      <name val="Arial Black"/>
      <family val="2"/>
      <scheme val="major"/>
    </font>
    <font>
      <sz val="11"/>
      <name val="Arial Black"/>
      <family val="2"/>
      <scheme val="major"/>
    </font>
    <font>
      <b/>
      <sz val="10"/>
      <name val="Arial Black"/>
      <family val="2"/>
    </font>
    <font>
      <b/>
      <sz val="10"/>
      <name val="Verdana"/>
      <family val="2"/>
      <scheme val="minor"/>
    </font>
    <font>
      <i/>
      <u/>
      <sz val="11"/>
      <color theme="1"/>
      <name val="Verdana"/>
      <family val="2"/>
      <scheme val="minor"/>
    </font>
    <font>
      <b/>
      <i/>
      <sz val="11"/>
      <color theme="1"/>
      <name val="Arial"/>
      <family val="2"/>
    </font>
    <font>
      <b/>
      <sz val="11"/>
      <color theme="1"/>
      <name val="Verdana"/>
      <family val="2"/>
      <scheme val="minor"/>
    </font>
  </fonts>
  <fills count="12">
    <fill>
      <patternFill patternType="none"/>
    </fill>
    <fill>
      <patternFill patternType="gray125"/>
    </fill>
    <fill>
      <patternFill patternType="solid">
        <fgColor theme="0" tint="-0.14996795556505021"/>
        <bgColor indexed="64"/>
      </patternFill>
    </fill>
    <fill>
      <patternFill patternType="solid">
        <fgColor theme="7"/>
        <bgColor indexed="64"/>
      </patternFill>
    </fill>
    <fill>
      <patternFill patternType="solid">
        <fgColor theme="5"/>
        <bgColor indexed="64"/>
      </patternFill>
    </fill>
    <fill>
      <patternFill patternType="solid">
        <fgColor theme="4"/>
        <bgColor indexed="64"/>
      </patternFill>
    </fill>
    <fill>
      <patternFill patternType="solid">
        <fgColor theme="1"/>
        <bgColor indexed="64"/>
      </patternFill>
    </fill>
    <fill>
      <patternFill patternType="solid">
        <fgColor theme="6"/>
        <bgColor indexed="64"/>
      </patternFill>
    </fill>
    <fill>
      <patternFill patternType="solid">
        <fgColor theme="0" tint="-4.9989318521683403E-2"/>
        <bgColor indexed="64"/>
      </patternFill>
    </fill>
    <fill>
      <patternFill patternType="solid">
        <fgColor theme="1" tint="0.79998168889431442"/>
        <bgColor indexed="64"/>
      </patternFill>
    </fill>
    <fill>
      <patternFill patternType="solid">
        <fgColor theme="0" tint="-0.14999847407452621"/>
        <bgColor indexed="64"/>
      </patternFill>
    </fill>
    <fill>
      <patternFill patternType="solid">
        <fgColor theme="2" tint="-4.9989318521683403E-2"/>
        <bgColor indexed="64"/>
      </patternFill>
    </fill>
  </fills>
  <borders count="53">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right style="thin">
        <color indexed="64"/>
      </right>
      <top/>
      <bottom/>
      <diagonal/>
    </border>
  </borders>
  <cellStyleXfs count="2">
    <xf numFmtId="0" fontId="0" fillId="0" borderId="0"/>
    <xf numFmtId="44" fontId="8" fillId="0" borderId="0" applyFont="0" applyFill="0" applyBorder="0" applyAlignment="0" applyProtection="0"/>
  </cellStyleXfs>
  <cellXfs count="198">
    <xf numFmtId="0" fontId="0" fillId="0" borderId="0" xfId="0"/>
    <xf numFmtId="0" fontId="6" fillId="0" borderId="0" xfId="0" applyFont="1"/>
    <xf numFmtId="0" fontId="7" fillId="0" borderId="0" xfId="0" applyFont="1" applyAlignment="1">
      <alignment vertical="top" wrapText="1"/>
    </xf>
    <xf numFmtId="0" fontId="7" fillId="0" borderId="0" xfId="0" applyFont="1"/>
    <xf numFmtId="42" fontId="6" fillId="0" borderId="0" xfId="0" applyNumberFormat="1" applyFont="1"/>
    <xf numFmtId="0" fontId="9" fillId="6" borderId="25" xfId="0" applyFont="1" applyFill="1" applyBorder="1" applyAlignment="1">
      <alignment horizontal="center"/>
    </xf>
    <xf numFmtId="0" fontId="6" fillId="0" borderId="26" xfId="0" applyFont="1" applyBorder="1" applyAlignment="1">
      <alignment horizontal="center" vertical="center"/>
    </xf>
    <xf numFmtId="0" fontId="17" fillId="0" borderId="0" xfId="0" applyFont="1"/>
    <xf numFmtId="0" fontId="18" fillId="9" borderId="11" xfId="0" applyFont="1" applyFill="1" applyBorder="1"/>
    <xf numFmtId="0" fontId="17" fillId="0" borderId="29" xfId="0" applyFont="1" applyBorder="1"/>
    <xf numFmtId="0" fontId="17" fillId="0" borderId="27" xfId="0" applyFont="1" applyBorder="1"/>
    <xf numFmtId="0" fontId="17" fillId="0" borderId="39" xfId="0" applyFont="1" applyBorder="1"/>
    <xf numFmtId="0" fontId="17" fillId="0" borderId="16" xfId="0" applyFont="1" applyBorder="1"/>
    <xf numFmtId="0" fontId="17" fillId="0" borderId="36" xfId="0" applyFont="1" applyBorder="1"/>
    <xf numFmtId="0" fontId="17" fillId="0" borderId="37" xfId="0" applyFont="1" applyBorder="1"/>
    <xf numFmtId="0" fontId="17" fillId="0" borderId="38" xfId="0" applyFont="1" applyBorder="1"/>
    <xf numFmtId="0" fontId="17" fillId="0" borderId="40" xfId="0" applyFont="1" applyBorder="1"/>
    <xf numFmtId="0" fontId="17" fillId="0" borderId="5" xfId="0" applyFont="1" applyBorder="1"/>
    <xf numFmtId="0" fontId="17" fillId="0" borderId="41" xfId="0" applyFont="1" applyBorder="1"/>
    <xf numFmtId="0" fontId="17" fillId="0" borderId="28" xfId="0" applyFont="1" applyBorder="1"/>
    <xf numFmtId="0" fontId="17" fillId="0" borderId="35" xfId="0" applyFont="1" applyBorder="1"/>
    <xf numFmtId="0" fontId="17" fillId="0" borderId="34" xfId="0" applyFont="1" applyBorder="1"/>
    <xf numFmtId="44" fontId="17" fillId="10" borderId="32" xfId="1" applyFont="1" applyFill="1" applyBorder="1"/>
    <xf numFmtId="44" fontId="17" fillId="10" borderId="28" xfId="1" applyFont="1" applyFill="1" applyBorder="1"/>
    <xf numFmtId="44" fontId="17" fillId="0" borderId="34" xfId="1" applyFont="1" applyBorder="1"/>
    <xf numFmtId="44" fontId="17" fillId="0" borderId="0" xfId="1" applyFont="1" applyBorder="1"/>
    <xf numFmtId="44" fontId="17" fillId="0" borderId="35" xfId="0" applyNumberFormat="1" applyFont="1" applyBorder="1"/>
    <xf numFmtId="44" fontId="17" fillId="10" borderId="19" xfId="1" applyFont="1" applyFill="1" applyBorder="1"/>
    <xf numFmtId="44" fontId="17" fillId="10" borderId="37" xfId="1" applyFont="1" applyFill="1" applyBorder="1"/>
    <xf numFmtId="44" fontId="17" fillId="0" borderId="36" xfId="1" applyFont="1" applyBorder="1"/>
    <xf numFmtId="44" fontId="17" fillId="0" borderId="37" xfId="1" applyFont="1" applyBorder="1"/>
    <xf numFmtId="44" fontId="17" fillId="0" borderId="38" xfId="0" applyNumberFormat="1" applyFont="1" applyBorder="1"/>
    <xf numFmtId="44" fontId="17" fillId="7" borderId="33" xfId="1" applyFont="1" applyFill="1" applyBorder="1"/>
    <xf numFmtId="44" fontId="17" fillId="4" borderId="0" xfId="1" applyFont="1" applyFill="1" applyBorder="1"/>
    <xf numFmtId="44" fontId="17" fillId="5" borderId="33" xfId="1" applyFont="1" applyFill="1" applyBorder="1"/>
    <xf numFmtId="44" fontId="17" fillId="3" borderId="0" xfId="1" applyFont="1" applyFill="1" applyBorder="1"/>
    <xf numFmtId="44" fontId="17" fillId="0" borderId="0" xfId="1" applyFont="1"/>
    <xf numFmtId="44" fontId="17" fillId="0" borderId="32" xfId="1" applyFont="1" applyBorder="1"/>
    <xf numFmtId="44" fontId="17" fillId="0" borderId="28" xfId="1" applyFont="1" applyBorder="1"/>
    <xf numFmtId="16" fontId="17" fillId="0" borderId="0" xfId="0" applyNumberFormat="1" applyFont="1"/>
    <xf numFmtId="44" fontId="17" fillId="0" borderId="33" xfId="1" applyFont="1" applyBorder="1"/>
    <xf numFmtId="44" fontId="17" fillId="0" borderId="19" xfId="1" applyFont="1" applyBorder="1"/>
    <xf numFmtId="44" fontId="17" fillId="0" borderId="0" xfId="0" applyNumberFormat="1" applyFont="1"/>
    <xf numFmtId="0" fontId="17" fillId="11" borderId="20" xfId="0" applyFont="1" applyFill="1" applyBorder="1"/>
    <xf numFmtId="0" fontId="17" fillId="11" borderId="21" xfId="0" applyFont="1" applyFill="1" applyBorder="1"/>
    <xf numFmtId="0" fontId="18" fillId="9" borderId="2" xfId="0" applyFont="1" applyFill="1" applyBorder="1"/>
    <xf numFmtId="0" fontId="19" fillId="6" borderId="32" xfId="0" applyFont="1" applyFill="1" applyBorder="1" applyAlignment="1">
      <alignment horizontal="center"/>
    </xf>
    <xf numFmtId="0" fontId="6" fillId="0" borderId="0" xfId="0" applyFont="1" applyAlignment="1">
      <alignment vertical="center"/>
    </xf>
    <xf numFmtId="0" fontId="3" fillId="0" borderId="11" xfId="0" applyFont="1" applyBorder="1" applyAlignment="1">
      <alignment horizontal="center" vertical="center"/>
    </xf>
    <xf numFmtId="0" fontId="11" fillId="2" borderId="2" xfId="0" applyFont="1" applyFill="1" applyBorder="1" applyAlignment="1">
      <alignment vertical="center"/>
    </xf>
    <xf numFmtId="0" fontId="11" fillId="0" borderId="2" xfId="0" applyFont="1" applyBorder="1" applyAlignment="1">
      <alignment vertical="center"/>
    </xf>
    <xf numFmtId="0" fontId="11" fillId="10" borderId="2" xfId="0" applyFont="1" applyFill="1" applyBorder="1" applyAlignment="1">
      <alignment vertical="center"/>
    </xf>
    <xf numFmtId="0" fontId="11" fillId="0" borderId="12" xfId="0" applyFont="1" applyBorder="1" applyAlignment="1">
      <alignment vertical="center"/>
    </xf>
    <xf numFmtId="0" fontId="0" fillId="0" borderId="0" xfId="0" applyAlignment="1">
      <alignment vertical="center"/>
    </xf>
    <xf numFmtId="0" fontId="3" fillId="0" borderId="4" xfId="0" applyFont="1" applyBorder="1" applyAlignment="1">
      <alignment horizontal="center" vertical="center"/>
    </xf>
    <xf numFmtId="0" fontId="5" fillId="0" borderId="3" xfId="0" applyFont="1" applyBorder="1" applyAlignment="1">
      <alignment vertical="center" wrapText="1"/>
    </xf>
    <xf numFmtId="0" fontId="3" fillId="0" borderId="2" xfId="0" applyFont="1" applyBorder="1" applyAlignment="1">
      <alignment horizontal="center" vertical="center"/>
    </xf>
    <xf numFmtId="0" fontId="13" fillId="2" borderId="2" xfId="0" applyFont="1" applyFill="1" applyBorder="1" applyAlignment="1">
      <alignment vertical="center"/>
    </xf>
    <xf numFmtId="0" fontId="11" fillId="9" borderId="2" xfId="0" applyFont="1" applyFill="1" applyBorder="1" applyAlignment="1">
      <alignment vertical="center"/>
    </xf>
    <xf numFmtId="0" fontId="12" fillId="0" borderId="31" xfId="1" applyNumberFormat="1" applyFont="1" applyFill="1" applyBorder="1" applyAlignment="1">
      <alignment vertical="center"/>
    </xf>
    <xf numFmtId="0" fontId="2" fillId="0" borderId="0" xfId="0" applyFont="1" applyAlignment="1">
      <alignment wrapText="1"/>
    </xf>
    <xf numFmtId="0" fontId="13" fillId="0" borderId="0" xfId="1" applyNumberFormat="1" applyFont="1" applyFill="1" applyBorder="1" applyAlignment="1"/>
    <xf numFmtId="44" fontId="17" fillId="0" borderId="27" xfId="1" applyFont="1" applyBorder="1"/>
    <xf numFmtId="44" fontId="20" fillId="7" borderId="32" xfId="1" applyFont="1" applyFill="1" applyBorder="1"/>
    <xf numFmtId="44" fontId="20" fillId="4" borderId="28" xfId="1" applyFont="1" applyFill="1" applyBorder="1"/>
    <xf numFmtId="44" fontId="20" fillId="5" borderId="32" xfId="1" applyFont="1" applyFill="1" applyBorder="1"/>
    <xf numFmtId="44" fontId="20" fillId="3" borderId="28" xfId="1" applyFont="1" applyFill="1" applyBorder="1"/>
    <xf numFmtId="44" fontId="19" fillId="6" borderId="32" xfId="1" applyFont="1" applyFill="1" applyBorder="1"/>
    <xf numFmtId="44" fontId="17" fillId="10" borderId="27" xfId="1" applyFont="1" applyFill="1" applyBorder="1"/>
    <xf numFmtId="44" fontId="17" fillId="10" borderId="36" xfId="1" applyFont="1" applyFill="1" applyBorder="1"/>
    <xf numFmtId="44" fontId="17" fillId="6" borderId="33" xfId="1" applyFont="1" applyFill="1" applyBorder="1"/>
    <xf numFmtId="44" fontId="17" fillId="6" borderId="6" xfId="1" applyFont="1" applyFill="1" applyBorder="1"/>
    <xf numFmtId="44" fontId="17" fillId="0" borderId="35" xfId="1" applyFont="1" applyBorder="1"/>
    <xf numFmtId="44" fontId="17" fillId="10" borderId="38" xfId="1" applyFont="1" applyFill="1" applyBorder="1"/>
    <xf numFmtId="44" fontId="17" fillId="0" borderId="29" xfId="1" applyFont="1" applyBorder="1"/>
    <xf numFmtId="0" fontId="17" fillId="0" borderId="0" xfId="0" applyFont="1" applyAlignment="1">
      <alignment horizontal="right"/>
    </xf>
    <xf numFmtId="44" fontId="17" fillId="0" borderId="37" xfId="0" applyNumberFormat="1" applyFont="1" applyBorder="1"/>
    <xf numFmtId="0" fontId="6" fillId="0" borderId="19" xfId="0" applyFont="1" applyBorder="1" applyAlignment="1">
      <alignment horizontal="center" vertical="center"/>
    </xf>
    <xf numFmtId="0" fontId="4" fillId="0" borderId="46" xfId="0" applyFont="1" applyBorder="1" applyAlignment="1">
      <alignment vertical="center" wrapText="1"/>
    </xf>
    <xf numFmtId="0" fontId="2" fillId="0" borderId="47" xfId="0" applyFont="1" applyBorder="1" applyAlignment="1">
      <alignment vertical="center" wrapText="1"/>
    </xf>
    <xf numFmtId="0" fontId="12" fillId="0" borderId="12" xfId="1" applyNumberFormat="1" applyFont="1" applyFill="1" applyBorder="1" applyAlignment="1">
      <alignment vertical="center"/>
    </xf>
    <xf numFmtId="0" fontId="0" fillId="0" borderId="0" xfId="0" applyAlignment="1">
      <alignment horizontal="left" vertical="top" wrapText="1"/>
    </xf>
    <xf numFmtId="0" fontId="6" fillId="0" borderId="0" xfId="0" applyFont="1" applyAlignment="1">
      <alignment horizontal="center"/>
    </xf>
    <xf numFmtId="0" fontId="3" fillId="0" borderId="8" xfId="0" applyFont="1" applyBorder="1" applyAlignment="1">
      <alignment horizontal="center" vertical="center"/>
    </xf>
    <xf numFmtId="0" fontId="11" fillId="2" borderId="48" xfId="0" applyFont="1" applyFill="1" applyBorder="1" applyAlignment="1">
      <alignment vertical="center"/>
    </xf>
    <xf numFmtId="0" fontId="11" fillId="0" borderId="48" xfId="0" applyFont="1" applyBorder="1" applyAlignment="1">
      <alignment vertical="center"/>
    </xf>
    <xf numFmtId="0" fontId="11" fillId="10" borderId="48" xfId="0" applyFont="1" applyFill="1" applyBorder="1" applyAlignment="1">
      <alignment vertical="center"/>
    </xf>
    <xf numFmtId="0" fontId="11" fillId="0" borderId="10" xfId="0" applyFont="1" applyBorder="1" applyAlignment="1">
      <alignment vertical="center"/>
    </xf>
    <xf numFmtId="0" fontId="1" fillId="0" borderId="0" xfId="0" applyFont="1" applyAlignment="1">
      <alignment vertical="center" wrapText="1"/>
    </xf>
    <xf numFmtId="0" fontId="1" fillId="0" borderId="0" xfId="0" applyFont="1" applyAlignment="1">
      <alignment vertical="center"/>
    </xf>
    <xf numFmtId="0" fontId="3" fillId="0" borderId="49" xfId="0" applyFont="1" applyBorder="1" applyAlignment="1">
      <alignment horizontal="center" vertical="center"/>
    </xf>
    <xf numFmtId="0" fontId="5" fillId="0" borderId="50" xfId="0" applyFont="1" applyBorder="1" applyAlignment="1">
      <alignment vertical="center" wrapText="1"/>
    </xf>
    <xf numFmtId="0" fontId="3" fillId="0" borderId="48" xfId="0" applyFont="1" applyBorder="1" applyAlignment="1">
      <alignment horizontal="center" vertical="center"/>
    </xf>
    <xf numFmtId="0" fontId="11" fillId="9" borderId="48" xfId="0" applyFont="1" applyFill="1" applyBorder="1" applyAlignment="1">
      <alignment vertical="center"/>
    </xf>
    <xf numFmtId="0" fontId="2" fillId="0" borderId="0" xfId="0" applyFont="1" applyAlignment="1">
      <alignment vertical="center" wrapText="1"/>
    </xf>
    <xf numFmtId="0" fontId="12" fillId="0" borderId="44" xfId="1" applyNumberFormat="1" applyFont="1" applyFill="1" applyBorder="1" applyAlignment="1">
      <alignment vertical="center"/>
    </xf>
    <xf numFmtId="0" fontId="0" fillId="0" borderId="0" xfId="0" applyAlignment="1">
      <alignment wrapText="1"/>
    </xf>
    <xf numFmtId="44" fontId="8" fillId="0" borderId="48" xfId="1" applyFont="1" applyBorder="1"/>
    <xf numFmtId="44" fontId="8" fillId="10" borderId="48" xfId="1" applyFont="1" applyFill="1" applyBorder="1"/>
    <xf numFmtId="44" fontId="8" fillId="10" borderId="10" xfId="1" applyFont="1" applyFill="1" applyBorder="1"/>
    <xf numFmtId="44" fontId="12" fillId="0" borderId="2" xfId="1" applyFont="1" applyFill="1" applyBorder="1" applyAlignment="1">
      <alignment vertical="center"/>
    </xf>
    <xf numFmtId="44" fontId="12" fillId="0" borderId="48" xfId="1" applyFont="1" applyFill="1" applyBorder="1" applyAlignment="1">
      <alignment vertical="center"/>
    </xf>
    <xf numFmtId="44" fontId="22" fillId="4" borderId="17" xfId="1" applyFont="1" applyFill="1" applyBorder="1" applyAlignment="1"/>
    <xf numFmtId="44" fontId="22" fillId="4" borderId="45" xfId="1" applyFont="1" applyFill="1" applyBorder="1" applyAlignment="1"/>
    <xf numFmtId="44" fontId="22" fillId="4" borderId="15" xfId="1" applyFont="1" applyFill="1" applyBorder="1" applyAlignment="1"/>
    <xf numFmtId="44" fontId="13" fillId="2" borderId="2" xfId="1" applyFont="1" applyFill="1" applyBorder="1" applyAlignment="1" applyProtection="1">
      <alignment vertical="center"/>
      <protection hidden="1"/>
    </xf>
    <xf numFmtId="44" fontId="13" fillId="2" borderId="2" xfId="1" applyFont="1" applyFill="1" applyBorder="1" applyAlignment="1">
      <alignment vertical="center"/>
    </xf>
    <xf numFmtId="44" fontId="13" fillId="2" borderId="48" xfId="1" applyFont="1" applyFill="1" applyBorder="1" applyAlignment="1">
      <alignment vertical="center"/>
    </xf>
    <xf numFmtId="0" fontId="7" fillId="6" borderId="33" xfId="0" applyFont="1" applyFill="1" applyBorder="1"/>
    <xf numFmtId="0" fontId="10" fillId="8" borderId="36" xfId="0" applyFont="1" applyFill="1" applyBorder="1"/>
    <xf numFmtId="0" fontId="10" fillId="0" borderId="20" xfId="0" applyFont="1" applyBorder="1"/>
    <xf numFmtId="44" fontId="17" fillId="0" borderId="28" xfId="0" applyNumberFormat="1" applyFont="1" applyBorder="1"/>
    <xf numFmtId="44" fontId="17" fillId="0" borderId="29" xfId="0" applyNumberFormat="1" applyFont="1" applyBorder="1"/>
    <xf numFmtId="44" fontId="17" fillId="0" borderId="6" xfId="1" applyFont="1" applyBorder="1"/>
    <xf numFmtId="0" fontId="17" fillId="0" borderId="52" xfId="0" applyFont="1" applyBorder="1"/>
    <xf numFmtId="0" fontId="17" fillId="0" borderId="44" xfId="0" applyFont="1" applyBorder="1"/>
    <xf numFmtId="0" fontId="6" fillId="0" borderId="0" xfId="0" applyFont="1" applyAlignment="1">
      <alignment horizontal="center"/>
    </xf>
    <xf numFmtId="0" fontId="7" fillId="0" borderId="0" xfId="0" applyFont="1" applyAlignment="1">
      <alignment horizontal="center" vertical="top" wrapText="1"/>
    </xf>
    <xf numFmtId="0" fontId="9" fillId="6" borderId="24" xfId="0" applyFont="1" applyFill="1" applyBorder="1" applyAlignment="1">
      <alignment horizontal="center"/>
    </xf>
    <xf numFmtId="0" fontId="9" fillId="6" borderId="8" xfId="0" applyFont="1" applyFill="1" applyBorder="1" applyAlignment="1">
      <alignment horizontal="center"/>
    </xf>
    <xf numFmtId="0" fontId="2" fillId="0" borderId="7" xfId="0" applyFont="1" applyBorder="1" applyAlignment="1">
      <alignment vertical="center"/>
    </xf>
    <xf numFmtId="0" fontId="2" fillId="0" borderId="11" xfId="0" applyFont="1" applyBorder="1" applyAlignment="1">
      <alignment vertical="center"/>
    </xf>
    <xf numFmtId="0" fontId="11" fillId="2" borderId="23" xfId="0" applyFont="1" applyFill="1" applyBorder="1" applyAlignment="1">
      <alignment vertical="center" wrapText="1"/>
    </xf>
    <xf numFmtId="0" fontId="11" fillId="2" borderId="2" xfId="0" applyFont="1" applyFill="1" applyBorder="1" applyAlignment="1">
      <alignment vertical="center" wrapText="1"/>
    </xf>
    <xf numFmtId="0" fontId="9" fillId="6" borderId="7" xfId="0" applyFont="1" applyFill="1" applyBorder="1" applyAlignment="1">
      <alignment horizontal="center"/>
    </xf>
    <xf numFmtId="0" fontId="9" fillId="6" borderId="11" xfId="0" applyFont="1" applyFill="1" applyBorder="1" applyAlignment="1">
      <alignment horizontal="center"/>
    </xf>
    <xf numFmtId="0" fontId="6" fillId="0" borderId="13" xfId="0" applyFont="1" applyBorder="1" applyAlignment="1">
      <alignment horizontal="center" vertical="center"/>
    </xf>
    <xf numFmtId="0" fontId="6" fillId="0" borderId="10" xfId="0" applyFont="1" applyBorder="1" applyAlignment="1">
      <alignment horizontal="center" vertical="center"/>
    </xf>
    <xf numFmtId="0" fontId="6" fillId="0" borderId="9" xfId="0" applyFont="1" applyBorder="1" applyAlignment="1">
      <alignment horizontal="center" vertical="center"/>
    </xf>
    <xf numFmtId="0" fontId="6" fillId="0" borderId="12" xfId="0" applyFont="1" applyBorder="1" applyAlignment="1">
      <alignment horizontal="center" vertical="center"/>
    </xf>
    <xf numFmtId="42" fontId="6" fillId="8" borderId="51" xfId="1" applyNumberFormat="1" applyFont="1" applyFill="1" applyBorder="1" applyAlignment="1">
      <alignment horizontal="center"/>
    </xf>
    <xf numFmtId="42" fontId="6" fillId="8" borderId="42" xfId="1" applyNumberFormat="1" applyFont="1" applyFill="1" applyBorder="1" applyAlignment="1">
      <alignment horizontal="center"/>
    </xf>
    <xf numFmtId="0" fontId="9" fillId="6" borderId="18" xfId="0" applyFont="1" applyFill="1" applyBorder="1" applyAlignment="1">
      <alignment horizontal="center"/>
    </xf>
    <xf numFmtId="0" fontId="9" fillId="6" borderId="14" xfId="0" applyFont="1" applyFill="1" applyBorder="1" applyAlignment="1">
      <alignment horizontal="center"/>
    </xf>
    <xf numFmtId="0" fontId="9" fillId="6" borderId="16" xfId="0" applyFont="1" applyFill="1" applyBorder="1" applyAlignment="1">
      <alignment horizontal="center"/>
    </xf>
    <xf numFmtId="0" fontId="10" fillId="7" borderId="39" xfId="0" applyFont="1" applyFill="1" applyBorder="1" applyAlignment="1">
      <alignment horizontal="center"/>
    </xf>
    <xf numFmtId="0" fontId="10" fillId="7" borderId="16" xfId="0" applyFont="1" applyFill="1" applyBorder="1" applyAlignment="1">
      <alignment horizontal="center"/>
    </xf>
    <xf numFmtId="0" fontId="10" fillId="4" borderId="18" xfId="0" applyFont="1" applyFill="1" applyBorder="1" applyAlignment="1">
      <alignment horizontal="center"/>
    </xf>
    <xf numFmtId="0" fontId="10" fillId="4" borderId="16" xfId="0" applyFont="1" applyFill="1" applyBorder="1" applyAlignment="1">
      <alignment horizontal="center"/>
    </xf>
    <xf numFmtId="0" fontId="10" fillId="5" borderId="18" xfId="0" applyFont="1" applyFill="1" applyBorder="1" applyAlignment="1">
      <alignment horizontal="center"/>
    </xf>
    <xf numFmtId="0" fontId="10" fillId="5" borderId="16" xfId="0" applyFont="1" applyFill="1" applyBorder="1" applyAlignment="1">
      <alignment horizontal="center"/>
    </xf>
    <xf numFmtId="0" fontId="11" fillId="2" borderId="30" xfId="0" applyFont="1" applyFill="1" applyBorder="1" applyAlignment="1">
      <alignment vertical="center" wrapText="1"/>
    </xf>
    <xf numFmtId="0" fontId="11" fillId="2" borderId="1" xfId="0" applyFont="1" applyFill="1" applyBorder="1" applyAlignment="1">
      <alignment vertical="center" wrapText="1"/>
    </xf>
    <xf numFmtId="0" fontId="2" fillId="2" borderId="30" xfId="0" applyFont="1" applyFill="1" applyBorder="1" applyAlignment="1">
      <alignment vertical="center" wrapText="1"/>
    </xf>
    <xf numFmtId="0" fontId="2" fillId="2" borderId="1" xfId="0" applyFont="1" applyFill="1" applyBorder="1" applyAlignment="1">
      <alignment vertical="center" wrapText="1"/>
    </xf>
    <xf numFmtId="0" fontId="2" fillId="0" borderId="30" xfId="0" applyFont="1" applyBorder="1" applyAlignment="1">
      <alignment vertical="center"/>
    </xf>
    <xf numFmtId="0" fontId="2" fillId="0" borderId="1" xfId="0" applyFont="1" applyBorder="1" applyAlignment="1">
      <alignment vertical="center"/>
    </xf>
    <xf numFmtId="0" fontId="11" fillId="0" borderId="30" xfId="0" applyFont="1" applyBorder="1" applyAlignment="1">
      <alignment vertical="center" wrapText="1"/>
    </xf>
    <xf numFmtId="0" fontId="11" fillId="0" borderId="1" xfId="0" applyFont="1" applyBorder="1" applyAlignment="1">
      <alignment vertical="center" wrapText="1"/>
    </xf>
    <xf numFmtId="0" fontId="11" fillId="2" borderId="30" xfId="0" applyFont="1" applyFill="1" applyBorder="1" applyAlignment="1">
      <alignment vertical="center"/>
    </xf>
    <xf numFmtId="0" fontId="11" fillId="2" borderId="1" xfId="0" applyFont="1" applyFill="1" applyBorder="1" applyAlignment="1">
      <alignment vertical="center"/>
    </xf>
    <xf numFmtId="0" fontId="11" fillId="0" borderId="30" xfId="0" applyFont="1" applyBorder="1" applyAlignment="1">
      <alignment vertical="center"/>
    </xf>
    <xf numFmtId="0" fontId="11" fillId="0" borderId="1" xfId="0" applyFont="1" applyBorder="1" applyAlignment="1">
      <alignment vertical="center"/>
    </xf>
    <xf numFmtId="0" fontId="21" fillId="4" borderId="20" xfId="0" applyFont="1" applyFill="1" applyBorder="1" applyAlignment="1">
      <alignment horizontal="center" wrapText="1"/>
    </xf>
    <xf numFmtId="0" fontId="21" fillId="4" borderId="22" xfId="0" applyFont="1" applyFill="1" applyBorder="1" applyAlignment="1">
      <alignment horizontal="center" wrapText="1"/>
    </xf>
    <xf numFmtId="0" fontId="2" fillId="0" borderId="30" xfId="0" applyFont="1" applyBorder="1" applyAlignment="1">
      <alignment vertical="center" wrapText="1"/>
    </xf>
    <xf numFmtId="0" fontId="2" fillId="0" borderId="1" xfId="0" applyFont="1" applyBorder="1" applyAlignment="1">
      <alignment vertical="center" wrapText="1"/>
    </xf>
    <xf numFmtId="0" fontId="9" fillId="6" borderId="27" xfId="0" applyFont="1" applyFill="1" applyBorder="1" applyAlignment="1">
      <alignment horizontal="center"/>
    </xf>
    <xf numFmtId="0" fontId="9" fillId="6" borderId="28" xfId="0" applyFont="1" applyFill="1" applyBorder="1" applyAlignment="1">
      <alignment horizontal="center"/>
    </xf>
    <xf numFmtId="0" fontId="9" fillId="6" borderId="29" xfId="0" applyFont="1" applyFill="1" applyBorder="1" applyAlignment="1">
      <alignment horizontal="center"/>
    </xf>
    <xf numFmtId="0" fontId="11" fillId="0" borderId="30" xfId="0" applyFont="1" applyBorder="1" applyAlignment="1">
      <alignment horizontal="left" vertical="center" wrapText="1"/>
    </xf>
    <xf numFmtId="0" fontId="11" fillId="0" borderId="1" xfId="0" applyFont="1" applyBorder="1" applyAlignment="1">
      <alignment horizontal="left" vertical="center" wrapText="1"/>
    </xf>
    <xf numFmtId="0" fontId="11" fillId="10" borderId="23" xfId="0" applyFont="1" applyFill="1" applyBorder="1" applyAlignment="1">
      <alignment vertical="center" wrapText="1"/>
    </xf>
    <xf numFmtId="0" fontId="11" fillId="10" borderId="2" xfId="0" applyFont="1" applyFill="1" applyBorder="1" applyAlignment="1">
      <alignment vertical="center" wrapText="1"/>
    </xf>
    <xf numFmtId="0" fontId="14" fillId="5" borderId="20" xfId="0" applyFont="1" applyFill="1" applyBorder="1" applyAlignment="1">
      <alignment horizontal="center" vertical="center"/>
    </xf>
    <xf numFmtId="0" fontId="14" fillId="5" borderId="21" xfId="0" applyFont="1" applyFill="1" applyBorder="1" applyAlignment="1">
      <alignment horizontal="center" vertical="center"/>
    </xf>
    <xf numFmtId="0" fontId="14" fillId="5" borderId="22" xfId="0" applyFont="1" applyFill="1" applyBorder="1" applyAlignment="1">
      <alignment horizontal="center" vertical="center"/>
    </xf>
    <xf numFmtId="0" fontId="7" fillId="7" borderId="20" xfId="0" applyFont="1" applyFill="1" applyBorder="1" applyAlignment="1">
      <alignment horizontal="center" vertical="center"/>
    </xf>
    <xf numFmtId="0" fontId="7" fillId="7" borderId="21" xfId="0" applyFont="1" applyFill="1" applyBorder="1" applyAlignment="1">
      <alignment horizontal="center" vertical="center"/>
    </xf>
    <xf numFmtId="0" fontId="7" fillId="7" borderId="22" xfId="0" applyFont="1" applyFill="1" applyBorder="1" applyAlignment="1">
      <alignment horizontal="center" vertical="center"/>
    </xf>
    <xf numFmtId="0" fontId="11" fillId="0" borderId="9" xfId="0" applyFont="1" applyBorder="1" applyAlignment="1">
      <alignment vertical="center" wrapText="1"/>
    </xf>
    <xf numFmtId="0" fontId="11" fillId="0" borderId="12" xfId="0" applyFont="1" applyBorder="1" applyAlignment="1">
      <alignment vertical="center" wrapText="1"/>
    </xf>
    <xf numFmtId="0" fontId="2" fillId="0" borderId="40" xfId="0" applyFont="1" applyBorder="1" applyAlignment="1">
      <alignment vertical="center"/>
    </xf>
    <xf numFmtId="0" fontId="2" fillId="0" borderId="5" xfId="0" applyFont="1" applyBorder="1" applyAlignment="1">
      <alignment vertical="center"/>
    </xf>
    <xf numFmtId="0" fontId="0" fillId="0" borderId="0" xfId="0" applyAlignment="1">
      <alignment horizontal="left" vertical="top" wrapText="1"/>
    </xf>
    <xf numFmtId="0" fontId="15" fillId="0" borderId="0" xfId="0" applyFont="1" applyAlignment="1">
      <alignment horizontal="center" vertical="center" wrapText="1"/>
    </xf>
    <xf numFmtId="0" fontId="15" fillId="0" borderId="0" xfId="0" applyFont="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7" fillId="10" borderId="23" xfId="0" applyFont="1" applyFill="1" applyBorder="1" applyAlignment="1">
      <alignment horizontal="left"/>
    </xf>
    <xf numFmtId="0" fontId="7" fillId="10" borderId="2" xfId="0" applyFont="1" applyFill="1" applyBorder="1" applyAlignment="1">
      <alignment horizontal="left"/>
    </xf>
    <xf numFmtId="0" fontId="7" fillId="0" borderId="23" xfId="0" applyFont="1" applyBorder="1" applyAlignment="1">
      <alignment horizontal="left"/>
    </xf>
    <xf numFmtId="0" fontId="7" fillId="0" borderId="2" xfId="0" applyFont="1" applyBorder="1" applyAlignment="1">
      <alignment horizontal="left"/>
    </xf>
    <xf numFmtId="0" fontId="7" fillId="10" borderId="9" xfId="0" applyFont="1" applyFill="1" applyBorder="1" applyAlignment="1">
      <alignment horizontal="left"/>
    </xf>
    <xf numFmtId="0" fontId="7" fillId="10" borderId="12" xfId="0" applyFont="1" applyFill="1" applyBorder="1" applyAlignment="1">
      <alignment horizontal="left"/>
    </xf>
    <xf numFmtId="42" fontId="6" fillId="0" borderId="45" xfId="1" applyNumberFormat="1" applyFont="1" applyBorder="1" applyAlignment="1">
      <alignment horizontal="center"/>
    </xf>
    <xf numFmtId="42" fontId="6" fillId="0" borderId="15" xfId="1" applyNumberFormat="1" applyFont="1" applyBorder="1" applyAlignment="1">
      <alignment horizontal="center"/>
    </xf>
    <xf numFmtId="0" fontId="10" fillId="3" borderId="18" xfId="0" applyFont="1" applyFill="1" applyBorder="1" applyAlignment="1">
      <alignment horizontal="center"/>
    </xf>
    <xf numFmtId="0" fontId="10" fillId="3" borderId="16" xfId="0" applyFont="1" applyFill="1" applyBorder="1" applyAlignment="1">
      <alignment horizontal="center"/>
    </xf>
    <xf numFmtId="0" fontId="0" fillId="0" borderId="7" xfId="0" applyBorder="1" applyAlignment="1">
      <alignment horizontal="center" vertical="center" wrapText="1"/>
    </xf>
    <xf numFmtId="0" fontId="0" fillId="0" borderId="11" xfId="0" applyBorder="1" applyAlignment="1">
      <alignment horizontal="center" vertical="center" wrapText="1"/>
    </xf>
    <xf numFmtId="0" fontId="0" fillId="0" borderId="8" xfId="0" applyBorder="1" applyAlignment="1">
      <alignment horizontal="center" vertical="center" wrapText="1"/>
    </xf>
    <xf numFmtId="0" fontId="0" fillId="0" borderId="23" xfId="0" applyBorder="1" applyAlignment="1">
      <alignment horizontal="center" vertical="center" wrapText="1"/>
    </xf>
    <xf numFmtId="0" fontId="0" fillId="0" borderId="2" xfId="0" applyBorder="1" applyAlignment="1">
      <alignment horizontal="center" vertical="center" wrapText="1"/>
    </xf>
    <xf numFmtId="0" fontId="0" fillId="0" borderId="48" xfId="0" applyBorder="1" applyAlignment="1">
      <alignment horizontal="center" vertical="center" wrapText="1"/>
    </xf>
    <xf numFmtId="0" fontId="18" fillId="2" borderId="43" xfId="0" applyFont="1" applyFill="1" applyBorder="1"/>
    <xf numFmtId="0" fontId="18" fillId="2" borderId="24" xfId="0" applyFont="1" applyFill="1" applyBorder="1"/>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797593</xdr:colOff>
      <xdr:row>3</xdr:row>
      <xdr:rowOff>193782</xdr:rowOff>
    </xdr:to>
    <xdr:pic>
      <xdr:nvPicPr>
        <xdr:cNvPr id="2" name="Picture 1">
          <a:extLst>
            <a:ext uri="{FF2B5EF4-FFF2-40B4-BE49-F238E27FC236}">
              <a16:creationId xmlns:a16="http://schemas.microsoft.com/office/drawing/2014/main" id="{A5068E50-2A02-45E8-947D-6E7DCEECC3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525"/>
          <a:ext cx="1724025" cy="898632"/>
        </a:xfrm>
        <a:prstGeom prst="rect">
          <a:avLst/>
        </a:prstGeom>
      </xdr:spPr>
    </xdr:pic>
    <xdr:clientData/>
  </xdr:twoCellAnchor>
</xdr:wsDr>
</file>

<file path=xl/theme/theme1.xml><?xml version="1.0" encoding="utf-8"?>
<a:theme xmlns:a="http://schemas.openxmlformats.org/drawingml/2006/main" name="Default">
  <a:themeElements>
    <a:clrScheme name="P+P with FAIR">
      <a:dk1>
        <a:srgbClr val="545456"/>
      </a:dk1>
      <a:lt1>
        <a:srgbClr val="FFFFFF"/>
      </a:lt1>
      <a:dk2>
        <a:srgbClr val="545456"/>
      </a:dk2>
      <a:lt2>
        <a:srgbClr val="FFFFFF"/>
      </a:lt2>
      <a:accent1>
        <a:srgbClr val="F9A33F"/>
      </a:accent1>
      <a:accent2>
        <a:srgbClr val="C8D750"/>
      </a:accent2>
      <a:accent3>
        <a:srgbClr val="00B0B8"/>
      </a:accent3>
      <a:accent4>
        <a:srgbClr val="9560A7"/>
      </a:accent4>
      <a:accent5>
        <a:srgbClr val="3F3393"/>
      </a:accent5>
      <a:accent6>
        <a:srgbClr val="7ACDCB"/>
      </a:accent6>
      <a:hlink>
        <a:srgbClr val="00B0B8"/>
      </a:hlink>
      <a:folHlink>
        <a:srgbClr val="9560A7"/>
      </a:folHlink>
    </a:clrScheme>
    <a:fontScheme name="P+P and FAIR brand">
      <a:majorFont>
        <a:latin typeface="Arial Black"/>
        <a:ea typeface=""/>
        <a:cs typeface=""/>
      </a:majorFont>
      <a:minorFont>
        <a:latin typeface="Verdan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FA7F7-B2C8-4AB2-A3F6-DC886A44B754}">
  <sheetPr>
    <pageSetUpPr fitToPage="1"/>
  </sheetPr>
  <dimension ref="A1:P55"/>
  <sheetViews>
    <sheetView tabSelected="1" zoomScale="85" zoomScaleNormal="85" workbookViewId="0">
      <selection activeCell="L13" sqref="L13"/>
    </sheetView>
  </sheetViews>
  <sheetFormatPr defaultColWidth="9.69921875" defaultRowHeight="18.95" customHeight="1"/>
  <cols>
    <col min="1" max="14" width="9.69921875" style="47"/>
    <col min="15" max="15" width="11.296875" style="47" bestFit="1" customWidth="1"/>
    <col min="16" max="16384" width="9.69921875" style="47"/>
  </cols>
  <sheetData>
    <row r="1" spans="1:16" s="1" customFormat="1" ht="18.75" customHeight="1">
      <c r="A1" s="116"/>
      <c r="B1" s="116"/>
      <c r="C1" s="117" t="s">
        <v>0</v>
      </c>
      <c r="D1" s="117"/>
      <c r="E1" s="117"/>
      <c r="F1" s="117"/>
      <c r="G1" s="117"/>
      <c r="H1" s="117"/>
      <c r="I1" s="117"/>
      <c r="J1" s="117"/>
      <c r="K1" s="117"/>
      <c r="L1" s="117"/>
      <c r="M1" s="2"/>
      <c r="N1" s="2"/>
    </row>
    <row r="2" spans="1:16" s="1" customFormat="1" ht="18.75" customHeight="1">
      <c r="A2" s="116"/>
      <c r="B2" s="116"/>
      <c r="C2" s="174" t="s">
        <v>1</v>
      </c>
      <c r="D2" s="174"/>
      <c r="E2" s="174"/>
      <c r="F2" s="174"/>
      <c r="G2" s="174"/>
      <c r="H2" s="174"/>
      <c r="I2" s="174"/>
      <c r="J2" s="174"/>
      <c r="K2" s="174"/>
      <c r="L2" s="174"/>
      <c r="M2" s="174"/>
      <c r="N2" s="174"/>
      <c r="O2" s="174"/>
    </row>
    <row r="3" spans="1:16" s="1" customFormat="1" ht="18.75" customHeight="1">
      <c r="A3" s="116"/>
      <c r="B3" s="116"/>
      <c r="C3" s="174"/>
      <c r="D3" s="174"/>
      <c r="E3" s="174"/>
      <c r="F3" s="174"/>
      <c r="G3" s="174"/>
      <c r="H3" s="174"/>
      <c r="I3" s="174"/>
      <c r="J3" s="174"/>
      <c r="K3" s="174"/>
      <c r="L3" s="174"/>
      <c r="M3" s="174"/>
      <c r="N3" s="174"/>
      <c r="O3" s="174"/>
    </row>
    <row r="4" spans="1:16" s="1" customFormat="1" ht="18.75" customHeight="1">
      <c r="A4" s="116"/>
      <c r="B4" s="116"/>
      <c r="C4" s="174"/>
      <c r="D4" s="174"/>
      <c r="E4" s="174"/>
      <c r="F4" s="174"/>
      <c r="G4" s="174"/>
      <c r="H4" s="174"/>
      <c r="I4" s="174"/>
      <c r="J4" s="174"/>
      <c r="K4" s="174"/>
      <c r="L4" s="174"/>
      <c r="M4" s="174"/>
      <c r="N4" s="174"/>
      <c r="O4" s="174"/>
    </row>
    <row r="5" spans="1:16" s="1" customFormat="1" ht="18.75" customHeight="1">
      <c r="A5" s="116"/>
      <c r="B5" s="116"/>
      <c r="C5" s="174"/>
      <c r="D5" s="174"/>
      <c r="E5" s="174"/>
      <c r="F5" s="174"/>
      <c r="G5" s="174"/>
      <c r="H5" s="174"/>
      <c r="I5" s="174"/>
      <c r="J5" s="174"/>
      <c r="K5" s="174"/>
      <c r="L5" s="174"/>
      <c r="M5" s="174"/>
      <c r="N5" s="174"/>
      <c r="O5" s="174"/>
    </row>
    <row r="6" spans="1:16" s="1" customFormat="1" ht="22.5" customHeight="1" thickBot="1">
      <c r="A6" s="116"/>
      <c r="B6" s="116"/>
      <c r="C6" s="174"/>
      <c r="D6" s="174"/>
      <c r="E6" s="174"/>
      <c r="F6" s="174"/>
      <c r="G6" s="174"/>
      <c r="H6" s="174"/>
      <c r="I6" s="174"/>
      <c r="J6" s="174"/>
      <c r="K6" s="174"/>
      <c r="L6" s="174"/>
      <c r="M6" s="174"/>
      <c r="N6" s="174"/>
      <c r="O6" s="174"/>
    </row>
    <row r="7" spans="1:16" s="1" customFormat="1" ht="18.75" customHeight="1" thickBot="1">
      <c r="A7" s="82"/>
      <c r="B7" s="177" t="s">
        <v>2</v>
      </c>
      <c r="C7" s="178"/>
      <c r="D7" s="178"/>
      <c r="E7" s="178"/>
      <c r="F7" s="178"/>
      <c r="G7" s="178"/>
      <c r="H7" s="178"/>
      <c r="I7" s="178"/>
      <c r="J7" s="178"/>
      <c r="K7" s="179"/>
      <c r="L7" s="81"/>
    </row>
    <row r="8" spans="1:16" s="1" customFormat="1" ht="18.75" customHeight="1" thickBot="1">
      <c r="B8" s="46" t="s">
        <v>3</v>
      </c>
      <c r="C8" s="5" t="s">
        <v>4</v>
      </c>
      <c r="D8" s="118" t="s">
        <v>5</v>
      </c>
      <c r="E8" s="119"/>
      <c r="F8" s="124" t="s">
        <v>6</v>
      </c>
      <c r="G8" s="125"/>
      <c r="H8" s="119"/>
      <c r="I8" s="124" t="s">
        <v>7</v>
      </c>
      <c r="J8" s="125"/>
      <c r="K8" s="119"/>
      <c r="M8" s="157" t="s">
        <v>8</v>
      </c>
      <c r="N8" s="158"/>
      <c r="O8" s="159"/>
    </row>
    <row r="9" spans="1:16" s="1" customFormat="1" ht="18.75" customHeight="1" thickBot="1">
      <c r="B9" s="77"/>
      <c r="C9" s="6"/>
      <c r="D9" s="126"/>
      <c r="E9" s="127"/>
      <c r="F9" s="128"/>
      <c r="G9" s="129"/>
      <c r="H9" s="127"/>
      <c r="I9" s="128"/>
      <c r="J9" s="129"/>
      <c r="K9" s="127"/>
      <c r="M9" s="190" t="s">
        <v>9</v>
      </c>
      <c r="N9" s="191"/>
      <c r="O9" s="192"/>
      <c r="P9" s="96"/>
    </row>
    <row r="10" spans="1:16" s="1" customFormat="1" ht="18.75" customHeight="1">
      <c r="M10" s="193"/>
      <c r="N10" s="194"/>
      <c r="O10" s="195"/>
      <c r="P10" s="96"/>
    </row>
    <row r="11" spans="1:16" s="1" customFormat="1" ht="18.75" customHeight="1" thickBot="1">
      <c r="M11" s="180" t="s">
        <v>10</v>
      </c>
      <c r="N11" s="181"/>
      <c r="O11" s="98">
        <v>0</v>
      </c>
    </row>
    <row r="12" spans="1:16" s="3" customFormat="1" ht="18.75" customHeight="1" thickBot="1">
      <c r="C12" s="132" t="s">
        <v>11</v>
      </c>
      <c r="D12" s="133"/>
      <c r="E12" s="133"/>
      <c r="F12" s="133"/>
      <c r="G12" s="133"/>
      <c r="H12" s="133"/>
      <c r="I12" s="133"/>
      <c r="J12" s="133"/>
      <c r="K12" s="134"/>
      <c r="M12" s="182" t="s">
        <v>12</v>
      </c>
      <c r="N12" s="183"/>
      <c r="O12" s="97">
        <v>0</v>
      </c>
    </row>
    <row r="13" spans="1:16" s="1" customFormat="1" ht="18.75" customHeight="1" thickBot="1">
      <c r="C13" s="108"/>
      <c r="D13" s="135" t="s">
        <v>13</v>
      </c>
      <c r="E13" s="136"/>
      <c r="F13" s="137" t="s">
        <v>14</v>
      </c>
      <c r="G13" s="138"/>
      <c r="H13" s="139" t="s">
        <v>15</v>
      </c>
      <c r="I13" s="140"/>
      <c r="J13" s="188" t="s">
        <v>16</v>
      </c>
      <c r="K13" s="189"/>
      <c r="M13" s="180" t="s">
        <v>17</v>
      </c>
      <c r="N13" s="181"/>
      <c r="O13" s="98">
        <v>0</v>
      </c>
    </row>
    <row r="14" spans="1:16" s="1" customFormat="1" ht="18.75" customHeight="1" thickBot="1">
      <c r="C14" s="110" t="s">
        <v>18</v>
      </c>
      <c r="D14" s="186">
        <f>'Math Sheet Hidden'!B22</f>
        <v>0</v>
      </c>
      <c r="E14" s="186"/>
      <c r="F14" s="186">
        <f>'Math Sheet Hidden'!C22</f>
        <v>0</v>
      </c>
      <c r="G14" s="186"/>
      <c r="H14" s="186">
        <f>'Math Sheet Hidden'!D22</f>
        <v>0</v>
      </c>
      <c r="I14" s="186"/>
      <c r="J14" s="186">
        <f>'Math Sheet Hidden'!E22</f>
        <v>0</v>
      </c>
      <c r="K14" s="187"/>
      <c r="L14" s="4"/>
      <c r="M14" s="182" t="s">
        <v>19</v>
      </c>
      <c r="N14" s="183"/>
      <c r="O14" s="97">
        <v>0</v>
      </c>
    </row>
    <row r="15" spans="1:16" s="1" customFormat="1" ht="18.75" customHeight="1" thickBot="1">
      <c r="C15" s="109" t="s">
        <v>20</v>
      </c>
      <c r="D15" s="130">
        <f>'Math Sheet Hidden'!B23</f>
        <v>0</v>
      </c>
      <c r="E15" s="130"/>
      <c r="F15" s="130">
        <f>'Math Sheet Hidden'!C23</f>
        <v>0</v>
      </c>
      <c r="G15" s="130"/>
      <c r="H15" s="130">
        <f>'Math Sheet Hidden'!D23</f>
        <v>0</v>
      </c>
      <c r="I15" s="130"/>
      <c r="J15" s="130">
        <f>'Math Sheet Hidden'!E23</f>
        <v>0</v>
      </c>
      <c r="K15" s="131"/>
      <c r="M15" s="184" t="s">
        <v>21</v>
      </c>
      <c r="N15" s="185"/>
      <c r="O15" s="99">
        <v>0</v>
      </c>
    </row>
    <row r="16" spans="1:16" s="1" customFormat="1" ht="18.75" customHeight="1">
      <c r="B16" s="175" t="s">
        <v>22</v>
      </c>
      <c r="C16" s="176"/>
      <c r="D16" s="176"/>
      <c r="E16" s="176"/>
      <c r="F16" s="176"/>
      <c r="G16" s="176"/>
      <c r="H16" s="176"/>
      <c r="I16" s="176"/>
      <c r="J16" s="176"/>
      <c r="K16" s="176"/>
      <c r="L16" s="176"/>
    </row>
    <row r="17" spans="2:15" s="1" customFormat="1" ht="18.75" customHeight="1">
      <c r="B17" s="176"/>
      <c r="C17" s="176"/>
      <c r="D17" s="176"/>
      <c r="E17" s="176"/>
      <c r="F17" s="176"/>
      <c r="G17" s="176"/>
      <c r="H17" s="176"/>
      <c r="I17" s="176"/>
      <c r="J17" s="176"/>
      <c r="K17" s="176"/>
      <c r="L17" s="176"/>
    </row>
    <row r="18" spans="2:15" ht="18.95" customHeight="1" thickBot="1"/>
    <row r="19" spans="2:15" ht="18.95" customHeight="1" thickBot="1">
      <c r="B19" s="164" t="s">
        <v>23</v>
      </c>
      <c r="C19" s="165"/>
      <c r="D19" s="165"/>
      <c r="E19" s="165"/>
      <c r="F19" s="165"/>
      <c r="G19" s="165"/>
      <c r="H19" s="165"/>
      <c r="I19" s="165"/>
      <c r="J19" s="165"/>
      <c r="K19" s="165"/>
      <c r="L19" s="165"/>
      <c r="M19" s="165"/>
      <c r="N19" s="165"/>
      <c r="O19" s="166"/>
    </row>
    <row r="20" spans="2:15" ht="18.95" customHeight="1">
      <c r="B20" s="120"/>
      <c r="C20" s="121"/>
      <c r="D20" s="48" t="s">
        <v>24</v>
      </c>
      <c r="E20" s="48" t="s">
        <v>25</v>
      </c>
      <c r="F20" s="48" t="s">
        <v>26</v>
      </c>
      <c r="G20" s="48" t="s">
        <v>27</v>
      </c>
      <c r="H20" s="48" t="s">
        <v>28</v>
      </c>
      <c r="I20" s="48" t="s">
        <v>29</v>
      </c>
      <c r="J20" s="48" t="s">
        <v>30</v>
      </c>
      <c r="K20" s="48" t="s">
        <v>31</v>
      </c>
      <c r="L20" s="48" t="s">
        <v>32</v>
      </c>
      <c r="M20" s="48" t="s">
        <v>33</v>
      </c>
      <c r="N20" s="48" t="s">
        <v>34</v>
      </c>
      <c r="O20" s="83" t="s">
        <v>35</v>
      </c>
    </row>
    <row r="21" spans="2:15" ht="18.95" customHeight="1">
      <c r="B21" s="122" t="s">
        <v>12</v>
      </c>
      <c r="C21" s="123"/>
      <c r="D21" s="49"/>
      <c r="E21" s="49"/>
      <c r="F21" s="49"/>
      <c r="G21" s="49"/>
      <c r="H21" s="49"/>
      <c r="I21" s="49"/>
      <c r="J21" s="49"/>
      <c r="K21" s="49"/>
      <c r="L21" s="49"/>
      <c r="M21" s="49"/>
      <c r="N21" s="49"/>
      <c r="O21" s="84"/>
    </row>
    <row r="22" spans="2:15" ht="18.95" customHeight="1">
      <c r="B22" s="160" t="s">
        <v>36</v>
      </c>
      <c r="C22" s="161"/>
      <c r="D22" s="50"/>
      <c r="E22" s="50"/>
      <c r="F22" s="50"/>
      <c r="G22" s="50"/>
      <c r="H22" s="50"/>
      <c r="I22" s="50"/>
      <c r="J22" s="50"/>
      <c r="K22" s="50"/>
      <c r="L22" s="50"/>
      <c r="M22" s="50"/>
      <c r="N22" s="50"/>
      <c r="O22" s="85"/>
    </row>
    <row r="23" spans="2:15" ht="18.95" customHeight="1">
      <c r="B23" s="162" t="s">
        <v>37</v>
      </c>
      <c r="C23" s="163"/>
      <c r="D23" s="51"/>
      <c r="E23" s="51"/>
      <c r="F23" s="51"/>
      <c r="G23" s="51"/>
      <c r="H23" s="51"/>
      <c r="I23" s="51"/>
      <c r="J23" s="51"/>
      <c r="K23" s="51"/>
      <c r="L23" s="51"/>
      <c r="M23" s="51"/>
      <c r="N23" s="51"/>
      <c r="O23" s="86"/>
    </row>
    <row r="24" spans="2:15" s="53" customFormat="1" ht="18.95" customHeight="1" thickBot="1">
      <c r="B24" s="170" t="s">
        <v>38</v>
      </c>
      <c r="C24" s="171"/>
      <c r="D24" s="52"/>
      <c r="E24" s="52"/>
      <c r="F24" s="52"/>
      <c r="G24" s="52"/>
      <c r="H24" s="52"/>
      <c r="I24" s="52"/>
      <c r="J24" s="52"/>
      <c r="K24" s="52"/>
      <c r="L24" s="52"/>
      <c r="M24" s="52"/>
      <c r="N24" s="52"/>
      <c r="O24" s="87"/>
    </row>
    <row r="25" spans="2:15" ht="18.95" customHeight="1" thickBot="1">
      <c r="B25" s="88"/>
      <c r="C25" s="88"/>
      <c r="D25" s="89"/>
      <c r="E25" s="89"/>
      <c r="F25" s="89"/>
      <c r="G25" s="89"/>
      <c r="H25" s="89"/>
      <c r="I25" s="89"/>
      <c r="J25" s="89"/>
      <c r="K25" s="89"/>
      <c r="L25" s="89"/>
      <c r="M25" s="89"/>
      <c r="N25" s="89"/>
      <c r="O25" s="89"/>
    </row>
    <row r="26" spans="2:15" ht="18.95" customHeight="1" thickBot="1">
      <c r="B26" s="167" t="s">
        <v>39</v>
      </c>
      <c r="C26" s="168"/>
      <c r="D26" s="168"/>
      <c r="E26" s="168"/>
      <c r="F26" s="168"/>
      <c r="G26" s="168"/>
      <c r="H26" s="168"/>
      <c r="I26" s="168"/>
      <c r="J26" s="168"/>
      <c r="K26" s="168"/>
      <c r="L26" s="168"/>
      <c r="M26" s="168"/>
      <c r="N26" s="168"/>
      <c r="O26" s="169"/>
    </row>
    <row r="27" spans="2:15" ht="18.95" customHeight="1">
      <c r="B27" s="172" t="s">
        <v>40</v>
      </c>
      <c r="C27" s="173"/>
      <c r="D27" s="54" t="s">
        <v>24</v>
      </c>
      <c r="E27" s="54" t="s">
        <v>25</v>
      </c>
      <c r="F27" s="54" t="s">
        <v>26</v>
      </c>
      <c r="G27" s="54" t="s">
        <v>27</v>
      </c>
      <c r="H27" s="54" t="s">
        <v>28</v>
      </c>
      <c r="I27" s="54" t="s">
        <v>29</v>
      </c>
      <c r="J27" s="54" t="s">
        <v>30</v>
      </c>
      <c r="K27" s="54" t="s">
        <v>31</v>
      </c>
      <c r="L27" s="54" t="s">
        <v>32</v>
      </c>
      <c r="M27" s="54" t="s">
        <v>33</v>
      </c>
      <c r="N27" s="54" t="s">
        <v>34</v>
      </c>
      <c r="O27" s="90" t="s">
        <v>35</v>
      </c>
    </row>
    <row r="28" spans="2:15" ht="18.95" customHeight="1">
      <c r="B28" s="141" t="s">
        <v>41</v>
      </c>
      <c r="C28" s="142"/>
      <c r="D28" s="49"/>
      <c r="E28" s="49"/>
      <c r="F28" s="49"/>
      <c r="G28" s="49"/>
      <c r="H28" s="49"/>
      <c r="I28" s="49"/>
      <c r="J28" s="49"/>
      <c r="K28" s="49"/>
      <c r="L28" s="49"/>
      <c r="M28" s="49"/>
      <c r="N28" s="49"/>
      <c r="O28" s="84"/>
    </row>
    <row r="29" spans="2:15" ht="18.95" customHeight="1">
      <c r="B29" s="147" t="s">
        <v>42</v>
      </c>
      <c r="C29" s="148"/>
      <c r="D29" s="50"/>
      <c r="E29" s="50"/>
      <c r="F29" s="50"/>
      <c r="G29" s="50"/>
      <c r="H29" s="50"/>
      <c r="I29" s="50"/>
      <c r="J29" s="50"/>
      <c r="K29" s="50"/>
      <c r="L29" s="50"/>
      <c r="M29" s="50"/>
      <c r="N29" s="50"/>
      <c r="O29" s="85"/>
    </row>
    <row r="30" spans="2:15" ht="18.95" customHeight="1">
      <c r="B30" s="143" t="s">
        <v>43</v>
      </c>
      <c r="C30" s="144"/>
      <c r="D30" s="105">
        <f>SUM(D28:D29)</f>
        <v>0</v>
      </c>
      <c r="E30" s="106">
        <f t="shared" ref="E30:O30" si="0">SUM(E28:E29)</f>
        <v>0</v>
      </c>
      <c r="F30" s="106">
        <f t="shared" si="0"/>
        <v>0</v>
      </c>
      <c r="G30" s="106">
        <f t="shared" si="0"/>
        <v>0</v>
      </c>
      <c r="H30" s="106">
        <f t="shared" si="0"/>
        <v>0</v>
      </c>
      <c r="I30" s="106">
        <f t="shared" si="0"/>
        <v>0</v>
      </c>
      <c r="J30" s="106">
        <f t="shared" si="0"/>
        <v>0</v>
      </c>
      <c r="K30" s="106">
        <f t="shared" si="0"/>
        <v>0</v>
      </c>
      <c r="L30" s="106">
        <f t="shared" si="0"/>
        <v>0</v>
      </c>
      <c r="M30" s="106">
        <f t="shared" si="0"/>
        <v>0</v>
      </c>
      <c r="N30" s="106">
        <f t="shared" si="0"/>
        <v>0</v>
      </c>
      <c r="O30" s="107">
        <f t="shared" si="0"/>
        <v>0</v>
      </c>
    </row>
    <row r="31" spans="2:15" ht="18.95" customHeight="1">
      <c r="B31" s="78" t="s">
        <v>44</v>
      </c>
      <c r="C31" s="55"/>
      <c r="D31" s="55"/>
      <c r="E31" s="55"/>
      <c r="F31" s="55"/>
      <c r="G31" s="55"/>
      <c r="H31" s="55"/>
      <c r="I31" s="55"/>
      <c r="J31" s="55"/>
      <c r="K31" s="55"/>
      <c r="L31" s="55"/>
      <c r="M31" s="55"/>
      <c r="N31" s="55"/>
      <c r="O31" s="91"/>
    </row>
    <row r="32" spans="2:15" ht="18.95" customHeight="1">
      <c r="B32" s="145" t="s">
        <v>45</v>
      </c>
      <c r="C32" s="146"/>
      <c r="D32" s="56" t="s">
        <v>24</v>
      </c>
      <c r="E32" s="56" t="s">
        <v>25</v>
      </c>
      <c r="F32" s="56" t="s">
        <v>26</v>
      </c>
      <c r="G32" s="56" t="s">
        <v>27</v>
      </c>
      <c r="H32" s="56" t="s">
        <v>28</v>
      </c>
      <c r="I32" s="56" t="s">
        <v>29</v>
      </c>
      <c r="J32" s="56" t="s">
        <v>30</v>
      </c>
      <c r="K32" s="56" t="s">
        <v>31</v>
      </c>
      <c r="L32" s="56" t="s">
        <v>32</v>
      </c>
      <c r="M32" s="56" t="s">
        <v>33</v>
      </c>
      <c r="N32" s="56" t="s">
        <v>34</v>
      </c>
      <c r="O32" s="92" t="s">
        <v>35</v>
      </c>
    </row>
    <row r="33" spans="2:15" ht="18.95" customHeight="1">
      <c r="B33" s="149" t="s">
        <v>46</v>
      </c>
      <c r="C33" s="150"/>
      <c r="D33" s="49"/>
      <c r="E33" s="49"/>
      <c r="F33" s="49"/>
      <c r="G33" s="49"/>
      <c r="H33" s="49"/>
      <c r="I33" s="49"/>
      <c r="J33" s="49"/>
      <c r="K33" s="49"/>
      <c r="L33" s="49"/>
      <c r="M33" s="49"/>
      <c r="N33" s="49"/>
      <c r="O33" s="84"/>
    </row>
    <row r="34" spans="2:15" ht="18.95" customHeight="1">
      <c r="B34" s="151" t="s">
        <v>47</v>
      </c>
      <c r="C34" s="152"/>
      <c r="D34" s="50"/>
      <c r="E34" s="50"/>
      <c r="F34" s="50"/>
      <c r="G34" s="50"/>
      <c r="H34" s="50"/>
      <c r="I34" s="50"/>
      <c r="J34" s="50"/>
      <c r="K34" s="50"/>
      <c r="L34" s="50"/>
      <c r="M34" s="50"/>
      <c r="N34" s="50"/>
      <c r="O34" s="85"/>
    </row>
    <row r="35" spans="2:15" ht="18.95" customHeight="1">
      <c r="B35" s="149" t="s">
        <v>48</v>
      </c>
      <c r="C35" s="150"/>
      <c r="D35" s="49"/>
      <c r="E35" s="49"/>
      <c r="F35" s="49"/>
      <c r="G35" s="49"/>
      <c r="H35" s="49"/>
      <c r="I35" s="49"/>
      <c r="J35" s="49"/>
      <c r="K35" s="49"/>
      <c r="L35" s="49"/>
      <c r="M35" s="49"/>
      <c r="N35" s="49"/>
      <c r="O35" s="84"/>
    </row>
    <row r="36" spans="2:15" ht="18.95" customHeight="1">
      <c r="B36" s="147" t="s">
        <v>49</v>
      </c>
      <c r="C36" s="148"/>
      <c r="D36" s="50"/>
      <c r="E36" s="50"/>
      <c r="F36" s="50"/>
      <c r="G36" s="50"/>
      <c r="H36" s="50"/>
      <c r="I36" s="50"/>
      <c r="J36" s="50"/>
      <c r="K36" s="50"/>
      <c r="L36" s="50"/>
      <c r="M36" s="50"/>
      <c r="N36" s="50"/>
      <c r="O36" s="85"/>
    </row>
    <row r="37" spans="2:15" ht="18.95" customHeight="1">
      <c r="B37" s="141" t="s">
        <v>50</v>
      </c>
      <c r="C37" s="142"/>
      <c r="D37" s="57"/>
      <c r="E37" s="49"/>
      <c r="F37" s="49"/>
      <c r="G37" s="49"/>
      <c r="H37" s="49"/>
      <c r="I37" s="49"/>
      <c r="J37" s="49"/>
      <c r="K37" s="49"/>
      <c r="L37" s="49"/>
      <c r="M37" s="49"/>
      <c r="N37" s="49"/>
      <c r="O37" s="84"/>
    </row>
    <row r="38" spans="2:15" ht="18.95" customHeight="1">
      <c r="B38" s="147" t="s">
        <v>51</v>
      </c>
      <c r="C38" s="148"/>
      <c r="D38" s="50"/>
      <c r="E38" s="50"/>
      <c r="F38" s="50"/>
      <c r="G38" s="50"/>
      <c r="H38" s="50"/>
      <c r="I38" s="50"/>
      <c r="J38" s="50"/>
      <c r="K38" s="50"/>
      <c r="L38" s="50"/>
      <c r="M38" s="50"/>
      <c r="N38" s="50"/>
      <c r="O38" s="85"/>
    </row>
    <row r="39" spans="2:15" ht="18.95" customHeight="1">
      <c r="B39" s="141" t="s">
        <v>52</v>
      </c>
      <c r="C39" s="142"/>
      <c r="D39" s="49"/>
      <c r="E39" s="49"/>
      <c r="F39" s="49"/>
      <c r="G39" s="49"/>
      <c r="H39" s="49"/>
      <c r="I39" s="49"/>
      <c r="J39" s="49"/>
      <c r="K39" s="49"/>
      <c r="L39" s="49"/>
      <c r="M39" s="49"/>
      <c r="N39" s="49"/>
      <c r="O39" s="84"/>
    </row>
    <row r="40" spans="2:15" ht="18.95" customHeight="1">
      <c r="B40" s="151" t="s">
        <v>53</v>
      </c>
      <c r="C40" s="152"/>
      <c r="D40" s="50"/>
      <c r="E40" s="50"/>
      <c r="F40" s="50"/>
      <c r="G40" s="50"/>
      <c r="H40" s="50"/>
      <c r="I40" s="50"/>
      <c r="J40" s="50"/>
      <c r="K40" s="50"/>
      <c r="L40" s="50"/>
      <c r="M40" s="50"/>
      <c r="N40" s="50"/>
      <c r="O40" s="85"/>
    </row>
    <row r="41" spans="2:15" ht="18.95" customHeight="1">
      <c r="B41" s="141" t="s">
        <v>54</v>
      </c>
      <c r="C41" s="142"/>
      <c r="D41" s="49"/>
      <c r="E41" s="49"/>
      <c r="F41" s="49"/>
      <c r="G41" s="49"/>
      <c r="H41" s="49"/>
      <c r="I41" s="49"/>
      <c r="J41" s="49"/>
      <c r="K41" s="49"/>
      <c r="L41" s="49"/>
      <c r="M41" s="49"/>
      <c r="N41" s="49"/>
      <c r="O41" s="84"/>
    </row>
    <row r="42" spans="2:15" ht="18.95" customHeight="1">
      <c r="B42" s="147" t="s">
        <v>55</v>
      </c>
      <c r="C42" s="148"/>
      <c r="D42" s="50"/>
      <c r="E42" s="50"/>
      <c r="F42" s="50"/>
      <c r="G42" s="50"/>
      <c r="H42" s="50"/>
      <c r="I42" s="50"/>
      <c r="J42" s="50"/>
      <c r="K42" s="50"/>
      <c r="L42" s="50"/>
      <c r="M42" s="50"/>
      <c r="N42" s="50"/>
      <c r="O42" s="85"/>
    </row>
    <row r="43" spans="2:15" ht="18.95" customHeight="1">
      <c r="B43" s="149" t="s">
        <v>56</v>
      </c>
      <c r="C43" s="150"/>
      <c r="D43" s="49"/>
      <c r="E43" s="49"/>
      <c r="F43" s="49"/>
      <c r="G43" s="49"/>
      <c r="H43" s="49"/>
      <c r="I43" s="49"/>
      <c r="J43" s="49"/>
      <c r="K43" s="49"/>
      <c r="L43" s="49"/>
      <c r="M43" s="49"/>
      <c r="N43" s="49"/>
      <c r="O43" s="84"/>
    </row>
    <row r="44" spans="2:15" ht="18.95" customHeight="1">
      <c r="B44" s="147" t="s">
        <v>57</v>
      </c>
      <c r="C44" s="148"/>
      <c r="D44" s="50"/>
      <c r="E44" s="50"/>
      <c r="F44" s="50"/>
      <c r="G44" s="50"/>
      <c r="H44" s="50"/>
      <c r="I44" s="50"/>
      <c r="J44" s="50"/>
      <c r="K44" s="50"/>
      <c r="L44" s="50"/>
      <c r="M44" s="50"/>
      <c r="N44" s="50"/>
      <c r="O44" s="85"/>
    </row>
    <row r="45" spans="2:15" ht="18.95" customHeight="1">
      <c r="B45" s="141" t="s">
        <v>58</v>
      </c>
      <c r="C45" s="142"/>
      <c r="D45" s="49"/>
      <c r="E45" s="49"/>
      <c r="F45" s="49"/>
      <c r="G45" s="49"/>
      <c r="H45" s="49"/>
      <c r="I45" s="49"/>
      <c r="J45" s="49"/>
      <c r="K45" s="49"/>
      <c r="L45" s="49"/>
      <c r="M45" s="49"/>
      <c r="N45" s="49"/>
      <c r="O45" s="84"/>
    </row>
    <row r="46" spans="2:15" ht="18.95" customHeight="1">
      <c r="B46" s="151" t="s">
        <v>59</v>
      </c>
      <c r="C46" s="152"/>
      <c r="D46" s="50"/>
      <c r="E46" s="50"/>
      <c r="F46" s="50"/>
      <c r="G46" s="50"/>
      <c r="H46" s="50"/>
      <c r="I46" s="50"/>
      <c r="J46" s="50"/>
      <c r="K46" s="50"/>
      <c r="L46" s="50"/>
      <c r="M46" s="50"/>
      <c r="N46" s="50"/>
      <c r="O46" s="85"/>
    </row>
    <row r="47" spans="2:15" ht="18.95" customHeight="1">
      <c r="B47" s="149" t="s">
        <v>60</v>
      </c>
      <c r="C47" s="150"/>
      <c r="D47" s="49"/>
      <c r="E47" s="49"/>
      <c r="F47" s="49"/>
      <c r="G47" s="49"/>
      <c r="H47" s="49"/>
      <c r="I47" s="49"/>
      <c r="J47" s="49"/>
      <c r="K47" s="49"/>
      <c r="L47" s="49"/>
      <c r="M47" s="49"/>
      <c r="N47" s="49"/>
      <c r="O47" s="84"/>
    </row>
    <row r="48" spans="2:15" ht="18.95" customHeight="1">
      <c r="B48" s="151" t="s">
        <v>61</v>
      </c>
      <c r="C48" s="152"/>
      <c r="D48" s="50"/>
      <c r="E48" s="50"/>
      <c r="F48" s="50"/>
      <c r="G48" s="50"/>
      <c r="H48" s="50"/>
      <c r="I48" s="50"/>
      <c r="J48" s="50"/>
      <c r="K48" s="50"/>
      <c r="L48" s="50"/>
      <c r="M48" s="50"/>
      <c r="N48" s="50"/>
      <c r="O48" s="85"/>
    </row>
    <row r="49" spans="2:15" ht="18.95" customHeight="1">
      <c r="B49" s="149" t="s">
        <v>62</v>
      </c>
      <c r="C49" s="150"/>
      <c r="D49" s="58"/>
      <c r="E49" s="58"/>
      <c r="F49" s="58"/>
      <c r="G49" s="58"/>
      <c r="H49" s="58"/>
      <c r="I49" s="58"/>
      <c r="J49" s="58"/>
      <c r="K49" s="58"/>
      <c r="L49" s="58"/>
      <c r="M49" s="58"/>
      <c r="N49" s="58"/>
      <c r="O49" s="93"/>
    </row>
    <row r="50" spans="2:15" ht="18.95" customHeight="1">
      <c r="B50" s="151" t="s">
        <v>63</v>
      </c>
      <c r="C50" s="152"/>
      <c r="D50" s="50"/>
      <c r="E50" s="50"/>
      <c r="F50" s="50"/>
      <c r="G50" s="50"/>
      <c r="H50" s="50"/>
      <c r="I50" s="50"/>
      <c r="J50" s="50"/>
      <c r="K50" s="50"/>
      <c r="L50" s="50"/>
      <c r="M50" s="50"/>
      <c r="N50" s="50"/>
      <c r="O50" s="85"/>
    </row>
    <row r="51" spans="2:15" ht="18.95" customHeight="1">
      <c r="B51" s="149" t="s">
        <v>64</v>
      </c>
      <c r="C51" s="150"/>
      <c r="D51" s="49"/>
      <c r="E51" s="49"/>
      <c r="F51" s="49"/>
      <c r="G51" s="49"/>
      <c r="H51" s="49"/>
      <c r="I51" s="49"/>
      <c r="J51" s="49"/>
      <c r="K51" s="49"/>
      <c r="L51" s="49"/>
      <c r="M51" s="49"/>
      <c r="N51" s="49"/>
      <c r="O51" s="84"/>
    </row>
    <row r="52" spans="2:15" ht="18.95" customHeight="1">
      <c r="B52" s="155" t="s">
        <v>65</v>
      </c>
      <c r="C52" s="156"/>
      <c r="D52" s="100">
        <f>SUM(D33:D48, D50:D51, 'Math Sheet Hidden'!R1)</f>
        <v>0</v>
      </c>
      <c r="E52" s="100">
        <f>SUM(E33:E48, E50:E51, 'Math Sheet Hidden'!S1)</f>
        <v>0</v>
      </c>
      <c r="F52" s="100">
        <f>SUM(F33:F48, F50:F51, 'Math Sheet Hidden'!T1)</f>
        <v>0</v>
      </c>
      <c r="G52" s="100">
        <f>SUM(G33:G48, G50:G51, 'Math Sheet Hidden'!U1)</f>
        <v>0</v>
      </c>
      <c r="H52" s="100">
        <f>SUM(H33:H48, H50:H51, 'Math Sheet Hidden'!V1)</f>
        <v>0</v>
      </c>
      <c r="I52" s="100">
        <f>SUM(I33:I48, I50:I51, 'Math Sheet Hidden'!W1)</f>
        <v>0</v>
      </c>
      <c r="J52" s="100">
        <f>SUM(J33:J48, J50:J51, 'Math Sheet Hidden'!X1)</f>
        <v>0</v>
      </c>
      <c r="K52" s="100">
        <f>SUM(K33:K48, K50:K51, 'Math Sheet Hidden'!Y1)</f>
        <v>0</v>
      </c>
      <c r="L52" s="100">
        <f>SUM(L33:L48, L50:L51, 'Math Sheet Hidden'!Z1)</f>
        <v>0</v>
      </c>
      <c r="M52" s="100">
        <f>SUM(M33:M48, M50:M51, 'Math Sheet Hidden'!AA1)</f>
        <v>0</v>
      </c>
      <c r="N52" s="100">
        <f>SUM(N33:N48, N50:N51, 'Math Sheet Hidden'!AB1)</f>
        <v>0</v>
      </c>
      <c r="O52" s="101">
        <f>SUM(O33:O48, O50:O51, 'Math Sheet Hidden'!AC1)</f>
        <v>0</v>
      </c>
    </row>
    <row r="53" spans="2:15" ht="18.95" customHeight="1" thickBot="1">
      <c r="B53" s="79"/>
      <c r="C53" s="94"/>
      <c r="D53" s="80"/>
      <c r="E53" s="59"/>
      <c r="F53" s="59"/>
      <c r="G53" s="59"/>
      <c r="H53" s="59"/>
      <c r="I53" s="59"/>
      <c r="J53" s="59"/>
      <c r="K53" s="59"/>
      <c r="L53" s="59"/>
      <c r="M53" s="59"/>
      <c r="N53" s="59"/>
      <c r="O53" s="95"/>
    </row>
    <row r="54" spans="2:15" ht="18.95" customHeight="1" thickBot="1">
      <c r="B54" s="153" t="s">
        <v>66</v>
      </c>
      <c r="C54" s="154"/>
      <c r="D54" s="102">
        <f t="shared" ref="D54:O54" si="1">SUM(D30-D52)</f>
        <v>0</v>
      </c>
      <c r="E54" s="103">
        <f t="shared" si="1"/>
        <v>0</v>
      </c>
      <c r="F54" s="103">
        <f t="shared" si="1"/>
        <v>0</v>
      </c>
      <c r="G54" s="103">
        <f t="shared" si="1"/>
        <v>0</v>
      </c>
      <c r="H54" s="103">
        <f t="shared" si="1"/>
        <v>0</v>
      </c>
      <c r="I54" s="103">
        <f t="shared" si="1"/>
        <v>0</v>
      </c>
      <c r="J54" s="103">
        <f t="shared" si="1"/>
        <v>0</v>
      </c>
      <c r="K54" s="103">
        <f t="shared" si="1"/>
        <v>0</v>
      </c>
      <c r="L54" s="103">
        <f t="shared" si="1"/>
        <v>0</v>
      </c>
      <c r="M54" s="103">
        <f t="shared" si="1"/>
        <v>0</v>
      </c>
      <c r="N54" s="103">
        <f t="shared" si="1"/>
        <v>0</v>
      </c>
      <c r="O54" s="104">
        <f t="shared" si="1"/>
        <v>0</v>
      </c>
    </row>
    <row r="55" spans="2:15" ht="18.95" customHeight="1">
      <c r="B55" s="60"/>
      <c r="C55" s="60"/>
      <c r="D55" s="61"/>
      <c r="E55" s="61"/>
      <c r="F55" s="61"/>
      <c r="G55" s="61"/>
      <c r="H55" s="61"/>
      <c r="I55" s="61"/>
      <c r="J55" s="61"/>
      <c r="K55" s="61"/>
      <c r="L55" s="61"/>
      <c r="M55" s="61"/>
      <c r="N55" s="61"/>
      <c r="O55" s="61"/>
    </row>
  </sheetData>
  <mergeCells count="64">
    <mergeCell ref="C2:O6"/>
    <mergeCell ref="B16:L17"/>
    <mergeCell ref="B7:K7"/>
    <mergeCell ref="M11:N11"/>
    <mergeCell ref="M12:N12"/>
    <mergeCell ref="M13:N13"/>
    <mergeCell ref="M14:N14"/>
    <mergeCell ref="M15:N15"/>
    <mergeCell ref="D14:E14"/>
    <mergeCell ref="F14:G14"/>
    <mergeCell ref="H14:I14"/>
    <mergeCell ref="J14:K14"/>
    <mergeCell ref="D15:E15"/>
    <mergeCell ref="F15:G15"/>
    <mergeCell ref="J13:K13"/>
    <mergeCell ref="M9:O10"/>
    <mergeCell ref="M8:O8"/>
    <mergeCell ref="B42:C42"/>
    <mergeCell ref="B33:C33"/>
    <mergeCell ref="B34:C34"/>
    <mergeCell ref="B35:C35"/>
    <mergeCell ref="B36:C36"/>
    <mergeCell ref="B28:C28"/>
    <mergeCell ref="B29:C29"/>
    <mergeCell ref="B22:C22"/>
    <mergeCell ref="B23:C23"/>
    <mergeCell ref="B19:O19"/>
    <mergeCell ref="B26:O26"/>
    <mergeCell ref="B24:C24"/>
    <mergeCell ref="B27:C27"/>
    <mergeCell ref="B54:C54"/>
    <mergeCell ref="B46:C46"/>
    <mergeCell ref="B47:C47"/>
    <mergeCell ref="B48:C48"/>
    <mergeCell ref="B51:C51"/>
    <mergeCell ref="B52:C52"/>
    <mergeCell ref="B50:C50"/>
    <mergeCell ref="B49:C49"/>
    <mergeCell ref="B45:C45"/>
    <mergeCell ref="B30:C30"/>
    <mergeCell ref="B32:C32"/>
    <mergeCell ref="B44:C44"/>
    <mergeCell ref="B37:C37"/>
    <mergeCell ref="B43:C43"/>
    <mergeCell ref="B38:C38"/>
    <mergeCell ref="B39:C39"/>
    <mergeCell ref="B40:C40"/>
    <mergeCell ref="B41:C41"/>
    <mergeCell ref="A1:B6"/>
    <mergeCell ref="C1:L1"/>
    <mergeCell ref="D8:E8"/>
    <mergeCell ref="B20:C20"/>
    <mergeCell ref="B21:C21"/>
    <mergeCell ref="F8:H8"/>
    <mergeCell ref="I8:K8"/>
    <mergeCell ref="D9:E9"/>
    <mergeCell ref="F9:H9"/>
    <mergeCell ref="I9:K9"/>
    <mergeCell ref="H15:I15"/>
    <mergeCell ref="J15:K15"/>
    <mergeCell ref="C12:K12"/>
    <mergeCell ref="D13:E13"/>
    <mergeCell ref="F13:G13"/>
    <mergeCell ref="H13:I13"/>
  </mergeCells>
  <dataValidations count="5">
    <dataValidation type="whole" operator="greaterThan" allowBlank="1" showInputMessage="1" showErrorMessage="1" promptTitle="Enter your age" prompt="Please enter your age for the year." sqref="B9" xr:uid="{45A470C5-F9DC-4D37-BC33-53869137559D}">
      <formula1>0</formula1>
    </dataValidation>
    <dataValidation type="list" allowBlank="1" showInputMessage="1" showErrorMessage="1" promptTitle="ITIN?" prompt="Enter ITIN if you or your spouse (If applicable) have or are requesting an ITIN. This can be left blank if you and your spouse (if applicable) have SSNs." sqref="C9" xr:uid="{E3FD603F-E422-4F5C-8BA5-B6A1035B0BF6}">
      <formula1>"ITIN, SSN"</formula1>
    </dataValidation>
    <dataValidation type="whole" allowBlank="1" showInputMessage="1" showErrorMessage="1" promptTitle="Older children" prompt="Enter the number of kids you plan to claim who are aged 17-24 and students or any age and disabled. DO NOT INCLUDE CHILDREN WHO HAVE ITINS" sqref="I9:K9" xr:uid="{BA5D5F0E-3E95-46E5-B72C-D885609023AA}">
      <formula1>0</formula1>
      <formula2>12</formula2>
    </dataValidation>
    <dataValidation type="whole" allowBlank="1" showInputMessage="1" showErrorMessage="1" promptTitle="Kids under 17" prompt="Enter the number of children you will claim who will be 16 or younger at the end of the tax year. DO NOT INCLUDE CHILDREN WHO HAVE ITINS." sqref="F9:H9" xr:uid="{6857E404-95C7-4C9F-BDB0-7508EA8D3D7A}">
      <formula1>0</formula1>
      <formula2>10</formula2>
    </dataValidation>
    <dataValidation type="list" allowBlank="1" showInputMessage="1" showErrorMessage="1" promptTitle="Marital Status" prompt="Enter Jointly if you plan to file a joint return with your spouse. Enter Separately if you plan to file a separate return from your spouse. Enter Unmarried if you are not married." sqref="D9:E9" xr:uid="{C3016AC9-3770-4B19-89E4-0015C29E70C9}">
      <formula1>"Jointly, Separately, Unmarried"</formula1>
    </dataValidation>
  </dataValidations>
  <pageMargins left="0.7" right="0.7" top="0.75" bottom="0.75" header="0.3" footer="0.3"/>
  <pageSetup fitToHeight="0"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74E08-11D9-4CA4-93B0-A2C98DDFD216}">
  <dimension ref="A1:AD104"/>
  <sheetViews>
    <sheetView workbookViewId="0">
      <selection activeCell="K6" sqref="K6"/>
    </sheetView>
  </sheetViews>
  <sheetFormatPr defaultColWidth="8.796875" defaultRowHeight="14.25"/>
  <cols>
    <col min="1" max="1" width="8.796875" style="7"/>
    <col min="2" max="2" width="11.59765625" style="7" customWidth="1"/>
    <col min="3" max="3" width="11.69921875" style="7" customWidth="1"/>
    <col min="4" max="4" width="11.3984375" style="7" bestFit="1" customWidth="1"/>
    <col min="5" max="5" width="12.296875" style="7" bestFit="1" customWidth="1"/>
    <col min="6" max="6" width="13.19921875" style="7" customWidth="1"/>
    <col min="7" max="7" width="14.59765625" style="7" customWidth="1"/>
    <col min="8" max="8" width="10.296875" style="7" bestFit="1" customWidth="1"/>
    <col min="9" max="9" width="10.8984375" style="7" customWidth="1"/>
    <col min="10" max="11" width="8.796875" style="7"/>
    <col min="12" max="12" width="14.69921875" style="7" customWidth="1"/>
    <col min="13" max="13" width="14" style="7" customWidth="1"/>
    <col min="14" max="14" width="11.8984375" style="7" customWidth="1"/>
    <col min="15" max="15" width="12.59765625" style="7" customWidth="1"/>
    <col min="16" max="16" width="10.296875" style="7" bestFit="1" customWidth="1"/>
    <col min="17" max="18" width="8.796875" style="7"/>
    <col min="19" max="19" width="11.796875" style="7" customWidth="1"/>
    <col min="20" max="16384" width="8.796875" style="7"/>
  </cols>
  <sheetData>
    <row r="1" spans="1:30" ht="15" thickBot="1">
      <c r="P1" s="196" t="s">
        <v>67</v>
      </c>
      <c r="Q1" s="197"/>
      <c r="R1" s="8">
        <f>B77*'IncomeExpense Sheet'!D49</f>
        <v>0</v>
      </c>
      <c r="S1" s="8">
        <f>C77*'IncomeExpense Sheet'!E49</f>
        <v>0</v>
      </c>
      <c r="T1" s="8">
        <f>D77*'IncomeExpense Sheet'!F49</f>
        <v>0</v>
      </c>
      <c r="U1" s="8">
        <f>E77*'IncomeExpense Sheet'!G49</f>
        <v>0</v>
      </c>
      <c r="V1" s="8">
        <f>F77*'IncomeExpense Sheet'!H49</f>
        <v>0</v>
      </c>
      <c r="W1" s="8">
        <f>G77*'IncomeExpense Sheet'!I49</f>
        <v>0</v>
      </c>
      <c r="X1" s="8">
        <f>H77*'IncomeExpense Sheet'!J49</f>
        <v>0</v>
      </c>
      <c r="Y1" s="8">
        <f>I77*'IncomeExpense Sheet'!K49</f>
        <v>0</v>
      </c>
      <c r="Z1" s="8">
        <f>J77*'IncomeExpense Sheet'!L49</f>
        <v>0</v>
      </c>
      <c r="AA1" s="8">
        <f>K77*'IncomeExpense Sheet'!M49</f>
        <v>0</v>
      </c>
      <c r="AB1" s="8">
        <f>L77*'IncomeExpense Sheet'!N49</f>
        <v>0</v>
      </c>
      <c r="AC1" s="8">
        <f>M77*'IncomeExpense Sheet'!O49</f>
        <v>0</v>
      </c>
      <c r="AD1" s="9">
        <f>SUM(R1:AC1)</f>
        <v>0</v>
      </c>
    </row>
    <row r="2" spans="1:30" ht="15" thickBot="1">
      <c r="H2" s="10" t="s">
        <v>68</v>
      </c>
      <c r="I2" s="11" t="s">
        <v>69</v>
      </c>
      <c r="J2" s="12" t="s">
        <v>70</v>
      </c>
      <c r="P2" s="13"/>
      <c r="Q2" s="14"/>
      <c r="R2" s="14"/>
      <c r="S2" s="14"/>
      <c r="T2" s="14"/>
      <c r="U2" s="14"/>
      <c r="V2" s="14"/>
      <c r="W2" s="14"/>
      <c r="X2" s="14"/>
      <c r="Y2" s="14"/>
      <c r="Z2" s="14"/>
      <c r="AA2" s="14"/>
      <c r="AB2" s="14"/>
      <c r="AC2" s="14"/>
      <c r="AD2" s="15" t="s">
        <v>71</v>
      </c>
    </row>
    <row r="3" spans="1:30" ht="15" thickBot="1">
      <c r="H3" s="16">
        <f>B52*'IncomeExpense Sheet'!F9</f>
        <v>0</v>
      </c>
      <c r="I3" s="17">
        <f>B54*'IncomeExpense Sheet'!F9+C53*'IncomeExpense Sheet'!I9</f>
        <v>0</v>
      </c>
      <c r="J3" s="18">
        <f>B51*('IncomeExpense Sheet'!F9+'IncomeExpense Sheet'!I9)</f>
        <v>0</v>
      </c>
      <c r="L3" s="10" t="s">
        <v>72</v>
      </c>
      <c r="M3" s="19"/>
      <c r="N3" s="19"/>
      <c r="O3" s="19"/>
      <c r="P3" s="20"/>
    </row>
    <row r="4" spans="1:30" ht="19.5" thickBot="1">
      <c r="A4" s="62"/>
      <c r="B4" s="63" t="s">
        <v>73</v>
      </c>
      <c r="C4" s="64" t="s">
        <v>74</v>
      </c>
      <c r="D4" s="65" t="s">
        <v>75</v>
      </c>
      <c r="E4" s="66" t="s">
        <v>24</v>
      </c>
      <c r="F4" s="67" t="s">
        <v>76</v>
      </c>
      <c r="H4" s="21">
        <f>IF(OR('IncomeExpense Sheet'!F9=3, 'IncomeExpense Sheet'!F9&gt;3), MIN(H3, F9*0.15), MIN(H3, MAX(0, 0.15*(F9-2500+F6/2))))</f>
        <v>0</v>
      </c>
      <c r="I4" s="114">
        <f>0.25*I3</f>
        <v>0</v>
      </c>
      <c r="J4" s="115">
        <f>0.25*J3</f>
        <v>0</v>
      </c>
      <c r="L4" s="21" t="s">
        <v>73</v>
      </c>
      <c r="M4" s="7" t="s">
        <v>74</v>
      </c>
      <c r="N4" s="7" t="s">
        <v>75</v>
      </c>
      <c r="O4" s="7" t="s">
        <v>24</v>
      </c>
      <c r="P4" s="20" t="s">
        <v>71</v>
      </c>
      <c r="R4" s="10"/>
      <c r="S4" s="9" t="s">
        <v>77</v>
      </c>
    </row>
    <row r="5" spans="1:30">
      <c r="A5" s="68" t="s">
        <v>78</v>
      </c>
      <c r="B5" s="22">
        <f>IF(I17&gt;1, I17, SUM('IncomeExpense Sheet'!D54:F54))</f>
        <v>0</v>
      </c>
      <c r="C5" s="23">
        <f>IF(I17&gt;1, 0.17*H17, SUM('IncomeExpense Sheet'!G54:H54))</f>
        <v>0</v>
      </c>
      <c r="D5" s="22">
        <f>IF(I17&gt;1, I17, SUM('IncomeExpense Sheet'!I54:K54))</f>
        <v>0</v>
      </c>
      <c r="E5" s="23">
        <f>IF(I17&gt;1, 0.33*H17, SUM('IncomeExpense Sheet'!L54:O54))</f>
        <v>0</v>
      </c>
      <c r="F5" s="22">
        <f>SUM(B5:E5)</f>
        <v>0</v>
      </c>
      <c r="G5" s="10" t="s">
        <v>79</v>
      </c>
      <c r="H5" s="19" t="s">
        <v>27</v>
      </c>
      <c r="I5" s="19" t="s">
        <v>29</v>
      </c>
      <c r="J5" s="19" t="s">
        <v>32</v>
      </c>
      <c r="K5" s="9" t="s">
        <v>24</v>
      </c>
      <c r="L5" s="24">
        <f>IF(I20&gt;1, I20,SUM('IncomeExpense Sheet'!D23:F23, H6,D41))</f>
        <v>0</v>
      </c>
      <c r="M5" s="25">
        <f>IF(I20&gt;1, I20,SUM('IncomeExpense Sheet'!G23:H23, I6,E41))</f>
        <v>0</v>
      </c>
      <c r="N5" s="25">
        <f>IF(I20&gt;1, I20,SUM('IncomeExpense Sheet'!I23:K23, J6, F41))</f>
        <v>0</v>
      </c>
      <c r="O5" s="25">
        <f>IF(I20&gt;1, I20,SUM('IncomeExpense Sheet'!L23:O23, K6,G41))</f>
        <v>0</v>
      </c>
      <c r="P5" s="26">
        <f>SUM(L5:O5)</f>
        <v>0</v>
      </c>
      <c r="R5" s="21" t="s">
        <v>18</v>
      </c>
      <c r="S5" s="26">
        <f>P5-F15-F6</f>
        <v>0</v>
      </c>
    </row>
    <row r="6" spans="1:30" ht="15" thickBot="1">
      <c r="A6" s="69" t="s">
        <v>80</v>
      </c>
      <c r="B6" s="27">
        <f>0.153*(IF(B5&gt;108, B5, 0))</f>
        <v>0</v>
      </c>
      <c r="C6" s="28">
        <f>0.153*(IF((B5+C5)&gt;181, (B5+C5), 0))-B6</f>
        <v>0</v>
      </c>
      <c r="D6" s="27">
        <f>0.153*(IF((B5+C5+D5)&gt;288, (B5+C5+D5), 0))-(B6+C6)</f>
        <v>0</v>
      </c>
      <c r="E6" s="28">
        <f>0.153*(IF((B5+C5+D5+E5)&gt;430, (B5+C5+D5+E5), 0))-(B6+C6+D6)</f>
        <v>0</v>
      </c>
      <c r="F6" s="27">
        <f>SUM(B6:E6)</f>
        <v>0</v>
      </c>
      <c r="G6" s="13" t="s">
        <v>81</v>
      </c>
      <c r="H6" s="14">
        <f>IF(OR('IncomeExpense Sheet'!F9=3, 'IncomeExpense Sheet'!F9&gt;3), MIN(H3*0.25, (B9+B6/2)*0.15), MIN(H3*0.25,MAX(0, 0.15*(B9-2500*0.25+B6/2))))</f>
        <v>0</v>
      </c>
      <c r="I6" s="14">
        <f>IF(OR('IncomeExpense Sheet'!F9=3, 'IncomeExpense Sheet'!F9&gt;3), MIN(H3*0.42, ((B9+B6/2)+(C9+C6/2))*0.15), MIN(H3*0.42, MAX(0, 0.15*((B9+B6/2)+(C9+C6/2)-2500*0.42)))-H6)</f>
        <v>0</v>
      </c>
      <c r="J6" s="14">
        <f>IF(OR('IncomeExpense Sheet'!F9=3, 'IncomeExpense Sheet'!F9&gt;3), MIN(H3*0.67, ((B9+B6/2)+(C9+C6/2)+(D9+D6/2))*0.15), MIN(H3*0.67, MAX(0, 0.15*((B9+B6/2)+(C9+C6/2)+(D9+D6/2)-2500*0.67)))-H6-I6)</f>
        <v>0</v>
      </c>
      <c r="K6" s="15">
        <f>IF(OR('IncomeExpense Sheet'!F9=3, 'IncomeExpense Sheet'!F9&gt;3), MIN(H3, (F9+F6/2)*0.15), MIN(H3, MAX(0, 0.15*(F9-2500+F6/2)))-(H6+I6+J6))</f>
        <v>0</v>
      </c>
      <c r="L6" s="29">
        <f>IF(I21&gt;1, I21,SUM('IncomeExpense Sheet'!D24:F24, L23))</f>
        <v>0</v>
      </c>
      <c r="M6" s="30">
        <f>IF(I21&gt;1, I21,SUM('IncomeExpense Sheet'!G24:H24, M23))</f>
        <v>0</v>
      </c>
      <c r="N6" s="30">
        <f>IF(I21&gt;1, I21,SUM('IncomeExpense Sheet'!I24:K24, N23))</f>
        <v>0</v>
      </c>
      <c r="O6" s="30">
        <f>IF(I21&gt;1, I21,SUM('IncomeExpense Sheet'!L24:O24, O23))</f>
        <v>0</v>
      </c>
      <c r="P6" s="31">
        <f>SUM(L6:O6)</f>
        <v>0</v>
      </c>
      <c r="R6" s="13" t="s">
        <v>20</v>
      </c>
      <c r="S6" s="31">
        <f>P6-F21</f>
        <v>0</v>
      </c>
    </row>
    <row r="7" spans="1:30" ht="15" thickBot="1">
      <c r="A7" s="24"/>
      <c r="B7" s="32"/>
      <c r="C7" s="33"/>
      <c r="D7" s="34"/>
      <c r="E7" s="35"/>
      <c r="F7" s="70"/>
      <c r="L7" s="36"/>
      <c r="M7" s="36"/>
      <c r="N7" s="36"/>
      <c r="O7" s="36"/>
    </row>
    <row r="8" spans="1:30">
      <c r="A8" s="62" t="s">
        <v>82</v>
      </c>
      <c r="B8" s="37">
        <f>IF(I18&gt;1, I18, SUM('IncomeExpense Sheet'!D21:F21))</f>
        <v>0</v>
      </c>
      <c r="C8" s="37">
        <f>IF(I18&gt;1, 0.17*H18, SUM('IncomeExpense Sheet'!G21:H21))</f>
        <v>0</v>
      </c>
      <c r="D8" s="38">
        <f>IF(I18&gt;1, I18,SUM('IncomeExpense Sheet'!I21:K21))</f>
        <v>0</v>
      </c>
      <c r="E8" s="37">
        <f>IF(I18&gt;1, 0.33*H18,SUM('IncomeExpense Sheet'!L21:O21))</f>
        <v>0</v>
      </c>
      <c r="F8" s="74">
        <f t="shared" ref="F8:F10" si="0">SUM(B8:E8)</f>
        <v>0</v>
      </c>
      <c r="I8" s="39"/>
    </row>
    <row r="9" spans="1:30" ht="15" thickBot="1">
      <c r="A9" s="24" t="s">
        <v>83</v>
      </c>
      <c r="B9" s="40">
        <f>SUM(B5,B8)-0.5*(B6)</f>
        <v>0</v>
      </c>
      <c r="C9" s="40">
        <f>SUM(C5,C8)-0.5*C6</f>
        <v>0</v>
      </c>
      <c r="D9" s="25">
        <f>SUM(D5,D8)-0.5*D6</f>
        <v>0</v>
      </c>
      <c r="E9" s="40">
        <f>SUM(E5,E8)-0.5*E6</f>
        <v>0</v>
      </c>
      <c r="F9" s="72">
        <f t="shared" si="0"/>
        <v>0</v>
      </c>
      <c r="I9" s="39"/>
    </row>
    <row r="10" spans="1:30" ht="15" thickBot="1">
      <c r="A10" s="69" t="s">
        <v>84</v>
      </c>
      <c r="B10" s="27">
        <f>IF(I19&gt;1, I19,SUM('IncomeExpense Sheet'!D22:F22))</f>
        <v>0</v>
      </c>
      <c r="C10" s="27">
        <f>IF(I19&gt;1, 0.17*H19,SUM('IncomeExpense Sheet'!G22:H22))</f>
        <v>0</v>
      </c>
      <c r="D10" s="28">
        <f>IF(I19&gt;1, I19,SUM('IncomeExpense Sheet'!I22:K22))</f>
        <v>0</v>
      </c>
      <c r="E10" s="27">
        <f>IF(I19&gt;1, 0.33*H19,SUM('IncomeExpense Sheet'!L22:O22))</f>
        <v>0</v>
      </c>
      <c r="F10" s="73">
        <f t="shared" si="0"/>
        <v>0</v>
      </c>
      <c r="G10" s="19" t="s">
        <v>85</v>
      </c>
      <c r="H10" s="19"/>
      <c r="I10" s="9" t="s">
        <v>86</v>
      </c>
    </row>
    <row r="11" spans="1:30" ht="15" thickBot="1">
      <c r="A11" s="69" t="s">
        <v>87</v>
      </c>
      <c r="B11" s="27">
        <f>SUM(B8,B10, B5)-0.5*(B6)</f>
        <v>0</v>
      </c>
      <c r="C11" s="28">
        <f>SUM(C8,C10, C5, B11)-0.5*C6</f>
        <v>0</v>
      </c>
      <c r="D11" s="27">
        <f>SUM(D8,D10,D5, C11)-0.5*D6</f>
        <v>0</v>
      </c>
      <c r="E11" s="28">
        <f>SUM(E8,E10,E5, D11)-0.5*E6</f>
        <v>0</v>
      </c>
      <c r="F11" s="27">
        <f>SUM(E11)</f>
        <v>0</v>
      </c>
      <c r="G11" s="7">
        <f>IF('IncomeExpense Sheet'!D9="Jointly", (D49+IF(K48&gt;(H49-1), E49, 0)), B49+I11+IF(K48&gt;(H49-1), F49, 0))</f>
        <v>13850</v>
      </c>
      <c r="I11" s="20">
        <f>IF('IncomeExpense Sheet'!D9="Unmarried", IF(I3&gt;0, (C49-B49), 0), 0)</f>
        <v>0</v>
      </c>
      <c r="K11" s="10"/>
      <c r="L11" s="10"/>
      <c r="M11" s="19"/>
      <c r="N11" s="19"/>
      <c r="O11" s="19"/>
      <c r="P11" s="9" t="s">
        <v>88</v>
      </c>
    </row>
    <row r="12" spans="1:30">
      <c r="A12" s="62" t="s">
        <v>89</v>
      </c>
      <c r="B12" s="37">
        <f>MAX(0, (B11-0.25*G11))</f>
        <v>0</v>
      </c>
      <c r="C12" s="38">
        <f>MAX(0, (C11-0.42*G11))</f>
        <v>0</v>
      </c>
      <c r="D12" s="37">
        <f>MAX(0, (D11-0.67*G11))</f>
        <v>0</v>
      </c>
      <c r="E12" s="38">
        <f>MAX(0, (E11-G11))</f>
        <v>0</v>
      </c>
      <c r="F12" s="37">
        <f>SUM(E12)</f>
        <v>0</v>
      </c>
      <c r="I12" s="20"/>
      <c r="K12" s="21"/>
      <c r="L12" s="21" t="s">
        <v>90</v>
      </c>
      <c r="P12" s="20">
        <f>IF(F9&gt;C73, C72, C74*F9)*P15</f>
        <v>0</v>
      </c>
    </row>
    <row r="13" spans="1:30" ht="15" thickBot="1">
      <c r="A13" s="29" t="s">
        <v>91</v>
      </c>
      <c r="B13" s="41">
        <f>MAX(0, (B11-0.25*(G14+J3)))</f>
        <v>0</v>
      </c>
      <c r="C13" s="30">
        <f>MAX(0,(C11-0.42*(G14+J3)))</f>
        <v>0</v>
      </c>
      <c r="D13" s="41">
        <f>MAX(0,(D11-0.67*(G14+J3)))</f>
        <v>0</v>
      </c>
      <c r="E13" s="30">
        <f>MAX(0, (E11-(G14+J3)))</f>
        <v>0</v>
      </c>
      <c r="F13" s="41">
        <f>SUM(E13)</f>
        <v>0</v>
      </c>
      <c r="G13" s="7" t="s">
        <v>92</v>
      </c>
      <c r="I13" s="20" t="s">
        <v>86</v>
      </c>
      <c r="K13" s="21"/>
      <c r="L13" s="21" t="s">
        <v>93</v>
      </c>
      <c r="M13" s="7" t="s">
        <v>94</v>
      </c>
      <c r="P13" s="20"/>
    </row>
    <row r="14" spans="1:30" ht="15" thickBot="1">
      <c r="A14" s="24"/>
      <c r="B14" s="32"/>
      <c r="C14" s="33"/>
      <c r="D14" s="34"/>
      <c r="E14" s="35"/>
      <c r="F14" s="71"/>
      <c r="G14" s="14">
        <f>IF('IncomeExpense Sheet'!D9="Jointly", D50+IF(K48&gt;(H51-1), E50, 0), B50+I14+IF(K48&gt;(H51-1), F50, 0))</f>
        <v>13825</v>
      </c>
      <c r="H14" s="14"/>
      <c r="I14" s="15">
        <f>IF('IncomeExpense Sheet'!D9="Unmarried", IF(I3&gt;0, (C50-B50), 0), 0)</f>
        <v>0</v>
      </c>
      <c r="K14" s="21"/>
      <c r="L14" s="21">
        <f>C67*'IncomeExpense Sheet'!F9</f>
        <v>0</v>
      </c>
      <c r="M14" s="7" cm="1">
        <f t="array" ref="M14">_xlfn.IFS('IncomeExpense Sheet'!I9=0, 0,'IncomeExpense Sheet'!I9=1, C68,'IncomeExpense Sheet'!I9=2, D68,'IncomeExpense Sheet'!I9&gt;2, E68)</f>
        <v>0</v>
      </c>
      <c r="N14" s="7">
        <f>IF('IncomeExpense Sheet'!D9="Separately", 0, (L14+M14+P12))</f>
        <v>0</v>
      </c>
      <c r="P14" s="20" t="s">
        <v>95</v>
      </c>
    </row>
    <row r="15" spans="1:30" ht="15" thickBot="1">
      <c r="A15" s="68" t="s">
        <v>96</v>
      </c>
      <c r="B15" s="22" cm="1">
        <f t="array" ref="B15">_xlfn.IFS(B12&lt;(0.25*J30), K29*B12, B12=(0.25*J30), 0.25*L29, AND(B12&gt;(0.25*J30),B12&lt;(0.25*J31)), (0.25*L29+K30*(B12-0.25*J30)), B12=(0.25*J31), 0.25*(L29+L30), AND(B12&gt;0.25*J31, B12&lt;0.25*J32), K31*(B12-0.25*J31)+0.25*(L29+L30), B12=0.25*J32, 0.25*SUM(L29:L31), AND(B12&gt;0.25*J32, B12&lt;0.25*J33), (B12-0.25*J32)*K32+0.25*SUM(L29:L31), B12=0.25*J33, 0.25*SUM(L29:L32),AND(B12&gt;0.25*J33, B12&lt;0.25*J34), (B12-0.25*J33)*K33+0.25*SUM(L29:L32), B12=0.25*J34, 0.25*SUM(L29:L33),AND(B12&gt;0.25*J34, B12&lt;0.25*J35), (B12-0.25*J34)*K34+0.25*SUM(L29:L33), B12=0.25*J35, 0.25*SUM(L29:L34), B12&gt;0.25*J35, (B12-0.25*J35)*K35+0.25*SUM(L29:L34))</f>
        <v>0</v>
      </c>
      <c r="C15" s="23" cm="1">
        <f t="array" ref="C15">MAX(0,  _xlfn.IFS(C12&lt;(0.42*J30), K29*C12, C12=(0.42*J30), 0.42*L29, AND(C12&gt;(0.42*J30),C12&lt;(0.42*J31)), (0.42*L29+K30*(C12-0.42*J30)), C12=(0.42*J31), 0.42*(L29+L30), AND(C12&gt;0.42*J31, C12&lt;0.42*J32), K31*(C12-0.42*J31)+0.42*(L29+L30), C12=0.42*J32, 0.42*SUM(L29:L31), AND(C12&gt;0.42*J32, C12&lt;0.42*J33), (C12-0.42*J32)*K32+0.42*SUM(L29:L31), C12=0.42*J33, 0.42*SUM(L29:L32),AND(C12&gt;0.42*J33, C12&lt;0.42*J34), (C12-0.42*J33)*K33+0.42*SUM(L29:L32), C12=0.42*J34, 0.42*SUM(L29:L33),AND(C12&gt;0.42*J34, C12&lt;0.42*J35), (C12-0.42*J34)*K34+0.42*SUM(L29:L33), C12=0.42*J35, 0.42*SUM(L29:L34), C12&gt;0.42*J35, (C12-0.42*J35)*K35+0.42*SUM(L29:L34))-(B15))</f>
        <v>0</v>
      </c>
      <c r="D15" s="22" cm="1">
        <f t="array" ref="D15">MAX(0,  _xlfn.IFS(D12&lt;(0.67*J30), K29*D12, D12=(0.67*J30), 0.67*L29, AND(D12&gt;(0.67*J30),D12&lt;(0.67*J31)), (0.67*L29+K30*(D12-0.67*J30)), D12=(0.67*J31), 0.67*(L29+L30), AND(D12&gt;0.67*J31, D12&lt;0.67*J32), K31*(D12-0.67*J31)+0.67*(L29+L30), D12=0.67*J32, 0.67*SUM(L29:L31), AND(D12&gt;0.67*J32, D12&lt;0.67*J33), (D12-0.67*J32)*K32+0.67*SUM(L29:L31), D12=0.67*J33, 0.67*SUM(L29:L32),AND(D12&gt;0.67*J33, D12&lt;0.67*J34), (D12-0.67*J33)*K33+0.67*SUM(L29:L32), D12=0.67*J34, 0.67*SUM(L29:L33),AND(D12&gt;0.67*J34, D12&lt;0.67*J35), (D12-0.67*J34)*K34+0.67*SUM(L29:L33), D12=0.67*J35, 0.67*SUM(L29:L34), D12&gt;0.67*J35, (D12-0.67*J35)*K35+0.67*SUM(L29:L34))-(B15+C15))</f>
        <v>0</v>
      </c>
      <c r="E15" s="23" cm="1">
        <f t="array" ref="E15">MAX(0,  _xlfn.IFS(E12&lt;(J30), K29*E12, E12=(J30), L29, AND(E12&gt;(J30),E12&lt;(J31)), (L29+K30*(E12-J30)), E12=(J31), (L29+L30), AND(E12&gt;J31, E12&lt;J32), K31*(E12-J31)+L29+L30, E12=J32, SUM(L29:L31), AND(E12&gt;J32, E12&lt;J33), (E12-J32)*K32+SUM(L29:L31), E12=J33, SUM(L29:L32),AND(E12&gt;J33, E12&lt;J34), (E12-J33)*K33+SUM(L29:L32), E12=J34, SUM(L29:L33),AND(E12&gt;J34, E12&lt;J35), (E12-J34)*K34+SUM(L29:L33), E12=J35, SUM(L29:L34), E12&gt;J35, (E12-J35)*K35+SUM(L29:L34))-(B15+C15+D15))</f>
        <v>0</v>
      </c>
      <c r="F15" s="22">
        <f>SUM(B15:E15)</f>
        <v>0</v>
      </c>
      <c r="H15" s="42"/>
      <c r="K15" s="21"/>
      <c r="L15" s="21"/>
      <c r="P15" s="20">
        <f>IF(I3&gt;0, 1, IF(K48=0, 1, IF(AND(H51&gt;K48, K48&gt;H50), 1,  0)))</f>
        <v>1</v>
      </c>
    </row>
    <row r="16" spans="1:30" ht="15" thickBot="1">
      <c r="A16" s="69" t="s">
        <v>97</v>
      </c>
      <c r="B16" s="27" cm="1">
        <f t="array" ref="B16">_xlfn.IFS(B13&lt;(0.25*J38), K37*B13, B13=(0.25*J38), 0.25*L37, AND(B13&gt;(0.25*J38),B13&lt;(0.25*J39)), (0.25*L37+K38*(B13-0.25*J38)), B13=(0.25*J39), 0.25*(L37+L38), AND(B13&gt;0.25*J39, B13&lt;0.25*J40), K39*(B13-0.25*J39)+0.25*(L37+L38), B13=0.25*J40, 0.25*(L37+L38+L39), B13&gt;0.25*J40, (B13-0.25*J40)*K40+0.25*(L37+L38+L39))</f>
        <v>0</v>
      </c>
      <c r="C16" s="28" cm="1">
        <f t="array" ref="C16">MAX(0,  _xlfn.IFS(C13&lt;(0.42*J38), K37*C13, C13=(0.42*J38), 0.42*L37, AND(C13&gt;(0.42*J38),C13&lt;(0.42*J39)), (0.42*L37+K38*(C13-0.42*J38)), C13=(0.42*J39), 0.42*(L37+L38), AND(C13&gt;0.42*J39, C13&lt;0.42*J40), K39*(C13-0.42*J39)+0.42*(L37+L38), C13=0.42*J40, 0.42*SUM(L37:L39), C13&gt;0.42*J40, (C13-0.42*J40)*K40+0.42*SUM(L37:L39))-B16)</f>
        <v>0</v>
      </c>
      <c r="D16" s="27" cm="1">
        <f t="array" ref="D16">MAX(0,  _xlfn.IFS(D13&lt;(0.67*J38), K37*D13, D13=(0.67*J38), 0.67*L37, AND(D13&gt;(0.67*J38),D13&lt;(0.67*J39)), (0.67*L37+K38*(D13-0.67*J38)), D13=(0.67*J39), 0.67*(L37+L38), AND(D13&gt;0.67*J39, D13&lt;0.67*J40), K39*(D13-0.67*J39)+0.67*(L37+L38), D13=0.67*J40, 0.67*SUM(L37:L39), D13&gt;0.67*J40, (D13-0.67*J40)*K40+0.67*SUM(L37:L39))-(B16+C16))</f>
        <v>0</v>
      </c>
      <c r="E16" s="28" cm="1">
        <f t="array" ref="E16">MAX(0,  _xlfn.IFS(E13&lt;(J38), K37*E13, E13=(J38), L37, AND(E13&gt;(J38),E13&lt;(J39)), (L37+K38*(E13-J38)), E13=(J39), (L37+L38), AND(E13&gt;J39, E13&lt;J40), K39*(E13-J39)+L37+L38, E13=J40, SUM(L37:L39), E13&gt;J40, (E13-J40)*K40+SUM(L37:L39))-(B16+C16+D16))</f>
        <v>0</v>
      </c>
      <c r="F16" s="27">
        <f>SUM(B16:E16)</f>
        <v>0</v>
      </c>
      <c r="G16" s="10" t="s">
        <v>8</v>
      </c>
      <c r="H16" s="19" t="s">
        <v>98</v>
      </c>
      <c r="I16" s="9" t="s">
        <v>99</v>
      </c>
      <c r="K16" s="21"/>
      <c r="L16" s="21" t="s">
        <v>100</v>
      </c>
      <c r="M16" s="7">
        <f>IF(L14&gt;0, 0.12, IF(M14&gt;0, 0.09, 0.12))</f>
        <v>0.12</v>
      </c>
      <c r="P16" s="20"/>
    </row>
    <row r="17" spans="1:16" ht="15" thickBot="1">
      <c r="A17" s="24"/>
      <c r="B17" s="32"/>
      <c r="C17" s="33"/>
      <c r="D17" s="34"/>
      <c r="E17" s="35"/>
      <c r="F17" s="70"/>
      <c r="G17" s="21" t="s">
        <v>78</v>
      </c>
      <c r="H17" s="42">
        <f>'IncomeExpense Sheet'!O11</f>
        <v>0</v>
      </c>
      <c r="I17" s="26">
        <f>H17/4</f>
        <v>0</v>
      </c>
      <c r="K17" s="21"/>
      <c r="L17" s="13">
        <f>IF('IncomeExpense Sheet'!D9="Jointly",C70, C69)</f>
        <v>29500</v>
      </c>
      <c r="M17" s="14"/>
      <c r="N17" s="14"/>
      <c r="O17" s="14"/>
      <c r="P17" s="15"/>
    </row>
    <row r="18" spans="1:16" ht="15" thickBot="1">
      <c r="A18" s="24"/>
      <c r="B18" s="32"/>
      <c r="C18" s="33"/>
      <c r="D18" s="34"/>
      <c r="E18" s="35"/>
      <c r="F18" s="70"/>
      <c r="G18" s="21" t="s">
        <v>82</v>
      </c>
      <c r="H18" s="42">
        <f>'IncomeExpense Sheet'!O12</f>
        <v>0</v>
      </c>
      <c r="I18" s="26">
        <f t="shared" ref="I18:I21" si="1">H18/4</f>
        <v>0</v>
      </c>
      <c r="K18" s="21"/>
      <c r="P18" s="20"/>
    </row>
    <row r="19" spans="1:16" ht="15" thickBot="1">
      <c r="A19" s="62" t="s">
        <v>101</v>
      </c>
      <c r="B19" s="37"/>
      <c r="C19" s="38"/>
      <c r="D19" s="37"/>
      <c r="E19" s="38"/>
      <c r="F19" s="37"/>
      <c r="G19" s="21" t="s">
        <v>64</v>
      </c>
      <c r="H19" s="42">
        <f>'IncomeExpense Sheet'!O13</f>
        <v>0</v>
      </c>
      <c r="I19" s="26">
        <f t="shared" si="1"/>
        <v>0</v>
      </c>
      <c r="K19" s="21"/>
      <c r="P19" s="20"/>
    </row>
    <row r="20" spans="1:16">
      <c r="A20" s="62" t="s">
        <v>18</v>
      </c>
      <c r="B20" s="37">
        <f>MAX(0, B15+B6-L5)</f>
        <v>0</v>
      </c>
      <c r="C20" s="38">
        <f>MAX(0, C15+C6-M5+MIN(0, B15+B6-L5))</f>
        <v>0</v>
      </c>
      <c r="D20" s="37">
        <f>MAX(0, D15+D6-N5+MIN(0, C15+C6-M5+MIN(0, B15+B6-L5)))</f>
        <v>0</v>
      </c>
      <c r="E20" s="38">
        <f>MAX(0, E15+E6-O5+MIN(0, D15+D6-N5+MIN(0, C15+C6-M5+MIN(0, B15+B6-L5))))</f>
        <v>0</v>
      </c>
      <c r="F20" s="37">
        <f>SUM(B20:E20)</f>
        <v>0</v>
      </c>
      <c r="G20" s="21" t="s">
        <v>102</v>
      </c>
      <c r="H20" s="42">
        <f>'IncomeExpense Sheet'!O14</f>
        <v>0</v>
      </c>
      <c r="I20" s="26">
        <f t="shared" si="1"/>
        <v>0</v>
      </c>
      <c r="K20" s="10"/>
      <c r="L20" s="19" t="s">
        <v>73</v>
      </c>
      <c r="M20" s="19" t="s">
        <v>74</v>
      </c>
      <c r="N20" s="19" t="s">
        <v>75</v>
      </c>
      <c r="O20" s="19" t="s">
        <v>24</v>
      </c>
      <c r="P20" s="9"/>
    </row>
    <row r="21" spans="1:16" ht="15" thickBot="1">
      <c r="A21" s="29" t="s">
        <v>20</v>
      </c>
      <c r="B21" s="41">
        <f>MAX(0, B16-L6)</f>
        <v>0</v>
      </c>
      <c r="C21" s="30">
        <f>MAX(0, C16-M6+MIN(0, B16-L6))</f>
        <v>0</v>
      </c>
      <c r="D21" s="41">
        <f>MAX(0, D16-N6+MIN(0, C16-M6+MIN(0, B16-L6)))</f>
        <v>0</v>
      </c>
      <c r="E21" s="30">
        <f>MAX(0, E16-O6+MIN(0, D16-N6+MIN(0, C16-M6+MIN(0, B16-L6))))</f>
        <v>0</v>
      </c>
      <c r="F21" s="41">
        <f>SUM(B21:E21)</f>
        <v>0</v>
      </c>
      <c r="G21" s="13" t="s">
        <v>103</v>
      </c>
      <c r="H21" s="76">
        <f>'IncomeExpense Sheet'!O15</f>
        <v>0</v>
      </c>
      <c r="I21" s="31">
        <f t="shared" si="1"/>
        <v>0</v>
      </c>
      <c r="K21" s="21" t="s">
        <v>104</v>
      </c>
      <c r="L21" s="42">
        <f>B11-0.25*L17</f>
        <v>-7375</v>
      </c>
      <c r="M21" s="42">
        <f>C11-0.42*L17</f>
        <v>-12390</v>
      </c>
      <c r="N21" s="42">
        <f>D11-0.67*L17</f>
        <v>-19765</v>
      </c>
      <c r="O21" s="42">
        <f>E11-L17</f>
        <v>-29500</v>
      </c>
      <c r="P21" s="20"/>
    </row>
    <row r="22" spans="1:16" ht="15" thickBot="1">
      <c r="A22" s="24" t="s">
        <v>18</v>
      </c>
      <c r="B22" s="40">
        <f>IF((H17&gt;1), I22, B20)</f>
        <v>0</v>
      </c>
      <c r="C22" s="40">
        <f>IF((H17&gt;1), I22, C20)</f>
        <v>0</v>
      </c>
      <c r="D22" s="40">
        <f>IF((H17&gt;1), I22, D20)</f>
        <v>0</v>
      </c>
      <c r="E22" s="40">
        <f>IF((H17&gt;1), I22, E20)</f>
        <v>0</v>
      </c>
      <c r="F22" s="25"/>
      <c r="G22" s="10" t="s">
        <v>105</v>
      </c>
      <c r="H22" s="111">
        <f>F20</f>
        <v>0</v>
      </c>
      <c r="I22" s="112">
        <f>H22/4</f>
        <v>0</v>
      </c>
      <c r="K22" s="21"/>
      <c r="L22" s="42">
        <f>MAX(0, M16*L21)</f>
        <v>0</v>
      </c>
      <c r="M22" s="42">
        <f>MAX(0, M16*M21)</f>
        <v>0</v>
      </c>
      <c r="N22" s="42">
        <f>MAX(0, M16*N21)</f>
        <v>0</v>
      </c>
      <c r="O22" s="42">
        <f>MAX(0, M16*O21)</f>
        <v>0</v>
      </c>
      <c r="P22" s="20"/>
    </row>
    <row r="23" spans="1:16" ht="15" thickBot="1">
      <c r="A23" s="29" t="s">
        <v>20</v>
      </c>
      <c r="B23" s="113">
        <f>IF((H17&gt;1), I23, B21)</f>
        <v>0</v>
      </c>
      <c r="C23" s="113">
        <f>IF((H17&gt;1), I23, C21)</f>
        <v>0</v>
      </c>
      <c r="D23" s="113">
        <f>IF((H17&gt;1), I23, D21)</f>
        <v>0</v>
      </c>
      <c r="E23" s="113">
        <f>IF((H17&gt;1), I23, E21)</f>
        <v>0</v>
      </c>
      <c r="F23" s="25"/>
      <c r="G23" s="13" t="s">
        <v>106</v>
      </c>
      <c r="H23" s="76">
        <f>F21</f>
        <v>0</v>
      </c>
      <c r="I23" s="31">
        <f>H23/4</f>
        <v>0</v>
      </c>
      <c r="K23" s="13"/>
      <c r="L23" s="30">
        <f>MAX( 0, (0.25*N14-L22))</f>
        <v>0</v>
      </c>
      <c r="M23" s="30">
        <f>MAX( 0, (0.42*N14-M22)-MAX(0, L23))</f>
        <v>0</v>
      </c>
      <c r="N23" s="30">
        <f>MAX( 0, (0.67*N14-N22)-MAX(0, L23+M23))</f>
        <v>0</v>
      </c>
      <c r="O23" s="30">
        <f>MAX( 0, (N14-O22)-MAX(0, L23+M23+N23))</f>
        <v>0</v>
      </c>
      <c r="P23" s="31">
        <f>SUM(L23:O23)</f>
        <v>0</v>
      </c>
    </row>
    <row r="24" spans="1:16">
      <c r="L24" s="36"/>
      <c r="M24" s="36"/>
      <c r="N24" s="36"/>
      <c r="O24" s="36"/>
    </row>
    <row r="25" spans="1:16">
      <c r="I25" s="42"/>
      <c r="L25" s="36"/>
      <c r="M25" s="36"/>
      <c r="N25" s="36"/>
      <c r="O25" s="36"/>
    </row>
    <row r="26" spans="1:16" ht="15" thickBot="1">
      <c r="L26" s="36"/>
      <c r="M26" s="36"/>
      <c r="N26" s="36"/>
      <c r="O26" s="36"/>
    </row>
    <row r="27" spans="1:16" ht="15" thickBot="1">
      <c r="A27" s="10" t="s">
        <v>107</v>
      </c>
      <c r="B27" s="19"/>
      <c r="C27" s="19" t="s">
        <v>108</v>
      </c>
      <c r="D27" s="19">
        <v>0</v>
      </c>
      <c r="E27" s="19">
        <v>1</v>
      </c>
      <c r="F27" s="19">
        <v>2</v>
      </c>
      <c r="G27" s="9">
        <v>3</v>
      </c>
    </row>
    <row r="28" spans="1:16">
      <c r="A28" s="21" cm="1">
        <f t="array" ref="A28">_xlfn.IFS(('IncomeExpense Sheet'!F9+'IncomeExpense Sheet'!I9)=0,D57,('IncomeExpense Sheet'!F9+'IncomeExpense Sheet'!I9)=1, E57, ('IncomeExpense Sheet'!F9+'IncomeExpense Sheet'!I9)=2, F57, ('IncomeExpense Sheet'!F9+'IncomeExpense Sheet'!I9)&gt;2, G57)</f>
        <v>600</v>
      </c>
      <c r="B28" s="75" t="s">
        <v>109</v>
      </c>
      <c r="C28" s="7" cm="1">
        <f t="array" ref="C28">_xlfn.IFS(('IncomeExpense Sheet'!F9+'IncomeExpense Sheet'!I9)=0, D28,('IncomeExpense Sheet'!F9+'IncomeExpense Sheet'!I9)=1, E28, ('IncomeExpense Sheet'!F9+'IncomeExpense Sheet'!I9)=2, F28, ('IncomeExpense Sheet'!F9+'IncomeExpense Sheet'!I9)&gt;2, G28)</f>
        <v>17640</v>
      </c>
      <c r="D28" s="7" cm="1">
        <f t="array" ref="D28">_xlfn.IFS('IncomeExpense Sheet'!D9="Jointly", D61, OR('IncomeExpense Sheet'!D9="Unmarried", 'IncomeExpense Sheet'!D9=0), D60, 'IncomeExpense Sheet'!D9="Separately", 0)</f>
        <v>17640</v>
      </c>
      <c r="E28" s="7" cm="1">
        <f t="array" ref="E28">_xlfn.IFS('IncomeExpense Sheet'!D9="Jointly", E61,OR('IncomeExpense Sheet'!D9="Unmarried", 'IncomeExpense Sheet'!D9=0), E60, 'IncomeExpense Sheet'!D9="Separately", 0)</f>
        <v>46560</v>
      </c>
      <c r="F28" s="7" cm="1">
        <f t="array" ref="F28">_xlfn.IFS('IncomeExpense Sheet'!D9="Jointly", F61, OR('IncomeExpense Sheet'!D9="Unmarried", 'IncomeExpense Sheet'!D9=0), F60, 'IncomeExpense Sheet'!D9="Separately", 0)</f>
        <v>52918</v>
      </c>
      <c r="G28" s="20" cm="1">
        <f t="array" ref="G28">_xlfn.IFS('IncomeExpense Sheet'!D9="Jointly", G61, OR('IncomeExpense Sheet'!D9="Unmarried", 'IncomeExpense Sheet'!D9=0), G60, 'IncomeExpense Sheet'!D9="Separately", 0)</f>
        <v>56838</v>
      </c>
      <c r="I28" s="10" t="s">
        <v>110</v>
      </c>
      <c r="J28" s="19" t="s">
        <v>111</v>
      </c>
      <c r="K28" s="19" t="s">
        <v>112</v>
      </c>
      <c r="L28" s="9" t="s">
        <v>113</v>
      </c>
    </row>
    <row r="29" spans="1:16">
      <c r="A29" s="21">
        <f>IF('IncomeExpense Sheet'!D9="Separately", 0, A28)*IF('IncomeExpense Sheet'!C9="ITIN", 0, 1)*A31</f>
        <v>600</v>
      </c>
      <c r="B29" s="75" t="s">
        <v>114</v>
      </c>
      <c r="C29" s="7" cm="1">
        <f t="array" ref="C29">_xlfn.IFS(('IncomeExpense Sheet'!F9+'IncomeExpense Sheet'!I9)=0, D29,('IncomeExpense Sheet'!F9+'IncomeExpense Sheet'!I9)=1, E29, ('IncomeExpense Sheet'!F9+'IncomeExpense Sheet'!I9)=2, F29, ('IncomeExpense Sheet'!F9+'IncomeExpense Sheet'!I9)&gt;2, G29)</f>
        <v>9800</v>
      </c>
      <c r="D29" s="7" cm="1">
        <f t="array" ref="D29">_xlfn.IFS('IncomeExpense Sheet'!D9="Jointly", D63,OR('IncomeExpense Sheet'!D9="Unmarried", 'IncomeExpense Sheet'!D9=0),D62, 'IncomeExpense Sheet'!D9="Separately", 0)</f>
        <v>9800</v>
      </c>
      <c r="E29" s="7" cm="1">
        <f t="array" ref="E29">_xlfn.IFS('IncomeExpense Sheet'!D9="Jointly",E63, OR('IncomeExpense Sheet'!D9="Unmarried", 'IncomeExpense Sheet'!D9=0), E62, 'IncomeExpense Sheet'!D9="Separately", 0)</f>
        <v>21560</v>
      </c>
      <c r="F29" s="7" cm="1">
        <f t="array" ref="F29">_xlfn.IFS('IncomeExpense Sheet'!D9="Jointly", F63, OR('IncomeExpense Sheet'!D9="Unmarried", 'IncomeExpense Sheet'!D9=0), F62, 'IncomeExpense Sheet'!D9="Separately", 0)</f>
        <v>21560</v>
      </c>
      <c r="G29" s="20" cm="1">
        <f t="array" ref="G29">_xlfn.IFS('IncomeExpense Sheet'!D9="Jointly", G63, OR('IncomeExpense Sheet'!D9="Unmarried", 'IncomeExpense Sheet'!D9=0), G62, 'IncomeExpense Sheet'!D9="Separately", 0)</f>
        <v>21560</v>
      </c>
      <c r="I29" s="21" t="s">
        <v>115</v>
      </c>
      <c r="J29" s="7" cm="1">
        <f t="array" ref="J29">_xlfn.IFS('IncomeExpense Sheet'!D9="Jointly",F85,'IncomeExpense Sheet'!D9="Separately", E85, AND(OR('IncomeExpense Sheet'!D9="unmarried", 'IncomeExpense Sheet'!D9=0), I3&gt;0), D85, OR('IncomeExpense Sheet'!D9="unmarried", 'IncomeExpense Sheet'!D9=0), C85)</f>
        <v>0</v>
      </c>
      <c r="K29" s="7">
        <f>B85</f>
        <v>0.1</v>
      </c>
      <c r="L29" s="20">
        <f>K29*J30</f>
        <v>1100</v>
      </c>
    </row>
    <row r="30" spans="1:16">
      <c r="A30" s="21" t="s">
        <v>116</v>
      </c>
      <c r="B30" s="75" t="s">
        <v>117</v>
      </c>
      <c r="C30" s="7" cm="1">
        <f t="array" ref="C30">_xlfn.IFS(('IncomeExpense Sheet'!F9+'IncomeExpense Sheet'!I9)=0, D30,('IncomeExpense Sheet'!F9+'IncomeExpense Sheet'!I9)=1, E30, ('IncomeExpense Sheet'!F9+'IncomeExpense Sheet'!I9)=2, F30, ('IncomeExpense Sheet'!F9+'IncomeExpense Sheet'!I9)&gt;2, G30)</f>
        <v>7.6499999999999999E-2</v>
      </c>
      <c r="D30" s="7">
        <f>D64</f>
        <v>7.6499999999999999E-2</v>
      </c>
      <c r="E30" s="7">
        <f>E64</f>
        <v>0.1598</v>
      </c>
      <c r="F30" s="7">
        <f>F64</f>
        <v>0.21060000000000001</v>
      </c>
      <c r="G30" s="20">
        <f>G64</f>
        <v>0.21060000000000001</v>
      </c>
      <c r="I30" s="21"/>
      <c r="J30" s="7" cm="1">
        <f t="array" ref="J30">_xlfn.IFS('IncomeExpense Sheet'!D9="Jointly",F86,'IncomeExpense Sheet'!D9="Separately", E86, AND(OR('IncomeExpense Sheet'!D9="unmarried", 'IncomeExpense Sheet'!D9=0), I3&gt;0), D86, OR('IncomeExpense Sheet'!D9="unmarried", 'IncomeExpense Sheet'!D9=0), C86)</f>
        <v>11000</v>
      </c>
      <c r="K30" s="7">
        <f t="shared" ref="K30:K35" si="2">B86</f>
        <v>0.12</v>
      </c>
      <c r="L30" s="20">
        <f>K30*(J31-J30)</f>
        <v>4047</v>
      </c>
    </row>
    <row r="31" spans="1:16">
      <c r="A31" s="21">
        <f>IF(I3&gt;0, 1, IF(K48=0, 1, IF(AND(H49&gt;K48, K48&gt;H48), 1,  0)))</f>
        <v>1</v>
      </c>
      <c r="B31" s="75" t="s">
        <v>118</v>
      </c>
      <c r="C31" s="7" cm="1">
        <f t="array" ref="C31">_xlfn.IFS(('IncomeExpense Sheet'!F9+'IncomeExpense Sheet'!I9)=0, D31,('IncomeExpense Sheet'!F9+'IncomeExpense Sheet'!I9)=1, E31, ('IncomeExpense Sheet'!F9+'IncomeExpense Sheet'!I9)=2, F31, ('IncomeExpense Sheet'!F9+'IncomeExpense Sheet'!I9)&gt;2, G31)</f>
        <v>7.6499999999999999E-2</v>
      </c>
      <c r="D31" s="7">
        <f t="shared" ref="D31:G32" si="3">D58</f>
        <v>7.6499999999999999E-2</v>
      </c>
      <c r="E31" s="7">
        <f t="shared" si="3"/>
        <v>0.34</v>
      </c>
      <c r="F31" s="7">
        <f t="shared" si="3"/>
        <v>0.4</v>
      </c>
      <c r="G31" s="20">
        <f t="shared" si="3"/>
        <v>0.45</v>
      </c>
      <c r="I31" s="21"/>
      <c r="J31" s="7" cm="1">
        <f t="array" ref="J31">_xlfn.IFS('IncomeExpense Sheet'!D9="Jointly",F87,'IncomeExpense Sheet'!D9="Separately", E87, AND(OR('IncomeExpense Sheet'!D9="unmarried", 'IncomeExpense Sheet'!D9=0), I3&gt;0), D87, OR('IncomeExpense Sheet'!D9="unmarried", 'IncomeExpense Sheet'!D9=0), C87)</f>
        <v>44725</v>
      </c>
      <c r="K31" s="7">
        <f t="shared" si="2"/>
        <v>0.22</v>
      </c>
      <c r="L31" s="20">
        <f t="shared" ref="L31:L34" si="4">K31*(J32-J31)</f>
        <v>11143</v>
      </c>
    </row>
    <row r="32" spans="1:16">
      <c r="A32" s="21"/>
      <c r="D32" s="7">
        <f t="shared" si="3"/>
        <v>7840</v>
      </c>
      <c r="E32" s="7">
        <f t="shared" si="3"/>
        <v>11750</v>
      </c>
      <c r="F32" s="7">
        <f t="shared" si="3"/>
        <v>16510</v>
      </c>
      <c r="G32" s="20">
        <f t="shared" si="3"/>
        <v>16510</v>
      </c>
      <c r="I32" s="21"/>
      <c r="J32" s="7" cm="1">
        <f t="array" ref="J32">_xlfn.IFS('IncomeExpense Sheet'!D9="Jointly",F88,'IncomeExpense Sheet'!D9="Separately", E88, AND(OR('IncomeExpense Sheet'!D9="unmarried", 'IncomeExpense Sheet'!D9=0), I3&gt;0), D88, OR('IncomeExpense Sheet'!D9="unmarried", 'IncomeExpense Sheet'!D9=0), C88)</f>
        <v>95375</v>
      </c>
      <c r="K32" s="7">
        <f t="shared" si="2"/>
        <v>0.24</v>
      </c>
      <c r="L32" s="20">
        <f t="shared" si="4"/>
        <v>20814</v>
      </c>
    </row>
    <row r="33" spans="1:12">
      <c r="A33" s="21"/>
      <c r="C33" s="7" t="s">
        <v>87</v>
      </c>
      <c r="G33" s="20"/>
      <c r="I33" s="21"/>
      <c r="J33" s="7" cm="1">
        <f t="array" ref="J33">_xlfn.IFS('IncomeExpense Sheet'!D9="Jointly",F89,'IncomeExpense Sheet'!D9="Separately", E89, AND(OR('IncomeExpense Sheet'!D9="unmarried", 'IncomeExpense Sheet'!D9=0), I3&gt;0), D89, OR('IncomeExpense Sheet'!D9="unmarried", 'IncomeExpense Sheet'!D9=0), C89)</f>
        <v>182100</v>
      </c>
      <c r="K33" s="7">
        <f t="shared" si="2"/>
        <v>0.32</v>
      </c>
      <c r="L33" s="20">
        <f t="shared" si="4"/>
        <v>15728</v>
      </c>
    </row>
    <row r="34" spans="1:12">
      <c r="A34" s="21"/>
      <c r="D34" s="42">
        <f>B11</f>
        <v>0</v>
      </c>
      <c r="E34" s="42">
        <f t="shared" ref="E34:G34" si="5">C11</f>
        <v>0</v>
      </c>
      <c r="F34" s="42">
        <f t="shared" si="5"/>
        <v>0</v>
      </c>
      <c r="G34" s="26">
        <f t="shared" si="5"/>
        <v>0</v>
      </c>
      <c r="I34" s="21"/>
      <c r="J34" s="7" cm="1">
        <f t="array" ref="J34">_xlfn.IFS('IncomeExpense Sheet'!D9="Jointly",F90,'IncomeExpense Sheet'!D9="Separately", E90, AND(OR('IncomeExpense Sheet'!D9="unmarried", 'IncomeExpense Sheet'!D9=0), I3&gt;0), D90, OR('IncomeExpense Sheet'!D9="unmarried", 'IncomeExpense Sheet'!D9=0), C90)</f>
        <v>231250</v>
      </c>
      <c r="K34" s="7">
        <f t="shared" si="2"/>
        <v>0.35</v>
      </c>
      <c r="L34" s="20">
        <f t="shared" si="4"/>
        <v>121406.24999999999</v>
      </c>
    </row>
    <row r="35" spans="1:12">
      <c r="A35" s="21"/>
      <c r="C35" s="7" t="s">
        <v>83</v>
      </c>
      <c r="D35" s="42">
        <f>B9</f>
        <v>0</v>
      </c>
      <c r="E35" s="42">
        <f>C9+D35</f>
        <v>0</v>
      </c>
      <c r="F35" s="42">
        <f>D9+E35</f>
        <v>0</v>
      </c>
      <c r="G35" s="26">
        <f>E9+F35</f>
        <v>0</v>
      </c>
      <c r="I35" s="21"/>
      <c r="J35" s="7" cm="1">
        <f t="array" ref="J35">_xlfn.IFS('IncomeExpense Sheet'!D9="Jointly",F91,'IncomeExpense Sheet'!D9="Separately", E91, AND(OR('IncomeExpense Sheet'!D9="unmarried", 'IncomeExpense Sheet'!D9=0), I3&gt;0), D91, OR('IncomeExpense Sheet'!D9="unmarried", 'IncomeExpense Sheet'!D9=0), C91)</f>
        <v>578125</v>
      </c>
      <c r="K35" s="7">
        <f t="shared" si="2"/>
        <v>0.37</v>
      </c>
      <c r="L35" s="20"/>
    </row>
    <row r="36" spans="1:12">
      <c r="A36" s="21"/>
      <c r="D36" s="7">
        <f>IF(D35&lt;D34, D34, D35)</f>
        <v>0</v>
      </c>
      <c r="E36" s="7">
        <f t="shared" ref="E36:G36" si="6">IF(E35&lt;E34, E34, E35)</f>
        <v>0</v>
      </c>
      <c r="F36" s="7">
        <f t="shared" si="6"/>
        <v>0</v>
      </c>
      <c r="G36" s="20">
        <f t="shared" si="6"/>
        <v>0</v>
      </c>
      <c r="I36" s="21"/>
      <c r="L36" s="20"/>
    </row>
    <row r="37" spans="1:12">
      <c r="A37" s="21"/>
      <c r="B37" s="7" t="s">
        <v>119</v>
      </c>
      <c r="C37" s="7" t="s">
        <v>117</v>
      </c>
      <c r="D37" s="7">
        <f>0.25*C28</f>
        <v>4410</v>
      </c>
      <c r="E37" s="7">
        <f>0.42*C28</f>
        <v>7408.7999999999993</v>
      </c>
      <c r="F37" s="7">
        <f>0.67*C28</f>
        <v>11818.800000000001</v>
      </c>
      <c r="G37" s="20">
        <f>C28</f>
        <v>17640</v>
      </c>
      <c r="I37" s="21" t="s">
        <v>20</v>
      </c>
      <c r="J37" s="7" cm="1">
        <f t="array" ref="J37">_xlfn.IFS('IncomeExpense Sheet'!D9="Jointly",F96,'IncomeExpense Sheet'!D9="Separately", E96, AND(OR('IncomeExpense Sheet'!D9="unmarried", 'IncomeExpense Sheet'!D9=0), I3&gt;0), D96, OR('IncomeExpense Sheet'!D9="unmarried", 'IncomeExpense Sheet'!D9=0), C96)</f>
        <v>0</v>
      </c>
      <c r="K37" s="7">
        <f>B96</f>
        <v>5.3499999999999999E-2</v>
      </c>
      <c r="L37" s="20">
        <f>K37*J38</f>
        <v>1608.7449999999999</v>
      </c>
    </row>
    <row r="38" spans="1:12">
      <c r="A38" s="21"/>
      <c r="C38" s="7" t="s">
        <v>120</v>
      </c>
      <c r="D38" s="7">
        <f>0.25*C29</f>
        <v>2450</v>
      </c>
      <c r="E38" s="7">
        <f>0.42*C29</f>
        <v>4116</v>
      </c>
      <c r="F38" s="7">
        <f>0.67*C29</f>
        <v>6566</v>
      </c>
      <c r="G38" s="20">
        <f>C29</f>
        <v>9800</v>
      </c>
      <c r="I38" s="21"/>
      <c r="J38" s="7" cm="1">
        <f t="array" ref="J38">_xlfn.IFS('IncomeExpense Sheet'!D9="Jointly",F97,'IncomeExpense Sheet'!D9="Separately", E97, AND(OR('IncomeExpense Sheet'!D9="unmarried", 'IncomeExpense Sheet'!D9=0), I3&gt;0), D97, OR('IncomeExpense Sheet'!D9="unmarried", 'IncomeExpense Sheet'!D9=0), C97)</f>
        <v>30070</v>
      </c>
      <c r="K38" s="7">
        <f t="shared" ref="K38:K40" si="7">B97</f>
        <v>6.8000000000000005E-2</v>
      </c>
      <c r="L38" s="20">
        <f>K38*(J39-J38)</f>
        <v>4670.92</v>
      </c>
    </row>
    <row r="39" spans="1:12">
      <c r="A39" s="21"/>
      <c r="D39" s="7" cm="1">
        <f t="array" ref="D39">_xlfn.IFS(OR(D36&gt;D37, D36=D37), D40, AND(D36&gt;D38, D36&lt;D37), (D36-D38)*C30, OR(D36=D38, D36&lt;D38, 0), 0)</f>
        <v>0</v>
      </c>
      <c r="E39" s="7" cm="1">
        <f t="array" ref="E39">_xlfn.IFS(OR(E36&gt;E37, E36=E37), E40, AND(E36&gt;E38, E36&lt;E37), (E36-E38)*C30, OR(E36=E38, E36&lt;E38, 0), 0)</f>
        <v>0</v>
      </c>
      <c r="F39" s="7" cm="1">
        <f t="array" ref="F39">_xlfn.IFS(OR(F36&gt;F37, F36=F37), F40, AND(F36&gt;F38, F36&lt;F37), (F36-F38)*C30, OR(F36=F38, F36&lt;F38, 0), 0)</f>
        <v>0</v>
      </c>
      <c r="G39" s="20" cm="1">
        <f t="array" ref="G39">_xlfn.IFS(OR(G36&gt;G37, G36=G37), G40, AND(G36&gt;G38, G36&lt;G37), (G36-G38)*C30, OR(G36=G38, G36&lt;G38, 0), 0)</f>
        <v>0</v>
      </c>
      <c r="I39" s="21"/>
      <c r="J39" s="7" cm="1">
        <f t="array" ref="J39">_xlfn.IFS('IncomeExpense Sheet'!D9="Jointly",F98,'IncomeExpense Sheet'!D9="Separately", E98, AND(OR('IncomeExpense Sheet'!D9="unmarried", 'IncomeExpense Sheet'!D9=0), I3&gt;0), D98, OR('IncomeExpense Sheet'!D9="unmarried", 'IncomeExpense Sheet'!D9=0), C98)</f>
        <v>98760</v>
      </c>
      <c r="K39" s="7">
        <f t="shared" si="7"/>
        <v>7.85E-2</v>
      </c>
      <c r="L39" s="20">
        <f>K39*(J40-J39)</f>
        <v>6639.53</v>
      </c>
    </row>
    <row r="40" spans="1:12">
      <c r="A40" s="21"/>
      <c r="C40" s="7" t="s">
        <v>121</v>
      </c>
      <c r="D40" s="42">
        <f>IF(D36&gt;D37, 0, MIN(0.25*A29-D39, C31*D35))</f>
        <v>0</v>
      </c>
      <c r="E40" s="42">
        <f>IF(E36&gt;E37, 0, MIN(0.42*A29-E39, C31*E35))</f>
        <v>0</v>
      </c>
      <c r="F40" s="42">
        <f>IF(F36&gt;F37, 0, MIN(0.67*A29-F39, C31*F35))</f>
        <v>0</v>
      </c>
      <c r="G40" s="26">
        <f>IF(G36&gt;G37, 0, MIN(A29-G39, C31*G35))</f>
        <v>0</v>
      </c>
      <c r="I40" s="21"/>
      <c r="J40" s="7" cm="1">
        <f t="array" ref="J40">_xlfn.IFS('IncomeExpense Sheet'!D9="Jointly",F99,'IncomeExpense Sheet'!D9="Separately", E99, AND(OR('IncomeExpense Sheet'!D9="unmarried", 'IncomeExpense Sheet'!D9=0), I3&gt;0), D99, OR('IncomeExpense Sheet'!D9="unmarried", 'IncomeExpense Sheet'!D9=0), C99)</f>
        <v>183340</v>
      </c>
      <c r="K40" s="7">
        <f t="shared" si="7"/>
        <v>9.8500000000000004E-2</v>
      </c>
      <c r="L40" s="20"/>
    </row>
    <row r="41" spans="1:12" ht="15" thickBot="1">
      <c r="A41" s="13"/>
      <c r="B41" s="14"/>
      <c r="C41" s="14"/>
      <c r="D41" s="76">
        <f>D40</f>
        <v>0</v>
      </c>
      <c r="E41" s="76">
        <f>E40-D41</f>
        <v>0</v>
      </c>
      <c r="F41" s="76">
        <f>F40-E41-D41</f>
        <v>0</v>
      </c>
      <c r="G41" s="31">
        <f>G40-F41-E41-D41</f>
        <v>0</v>
      </c>
      <c r="I41" s="21"/>
      <c r="L41" s="20"/>
    </row>
    <row r="42" spans="1:12">
      <c r="I42" s="21"/>
      <c r="L42" s="20"/>
    </row>
    <row r="43" spans="1:12">
      <c r="I43" s="21"/>
      <c r="L43" s="20"/>
    </row>
    <row r="44" spans="1:12" ht="15" thickBot="1">
      <c r="I44" s="13"/>
      <c r="J44" s="14"/>
      <c r="K44" s="14"/>
      <c r="L44" s="15"/>
    </row>
    <row r="46" spans="1:12" ht="15" thickBot="1"/>
    <row r="47" spans="1:12" s="44" customFormat="1" ht="15" thickBot="1">
      <c r="A47" s="43" t="s">
        <v>122</v>
      </c>
    </row>
    <row r="48" spans="1:12">
      <c r="A48" s="7" t="s">
        <v>123</v>
      </c>
      <c r="B48" s="7" t="s">
        <v>124</v>
      </c>
      <c r="C48" s="7" t="s">
        <v>125</v>
      </c>
      <c r="D48" s="7" t="s">
        <v>126</v>
      </c>
      <c r="E48" s="7" t="s">
        <v>127</v>
      </c>
      <c r="F48" s="7" t="s">
        <v>128</v>
      </c>
      <c r="G48" s="7" t="s">
        <v>129</v>
      </c>
      <c r="H48" s="7">
        <v>24</v>
      </c>
      <c r="J48" s="7" t="s">
        <v>130</v>
      </c>
      <c r="K48" s="7">
        <f>'IncomeExpense Sheet'!B9</f>
        <v>0</v>
      </c>
    </row>
    <row r="49" spans="1:8">
      <c r="A49" s="7" t="s">
        <v>115</v>
      </c>
      <c r="B49" s="7">
        <v>13850</v>
      </c>
      <c r="C49" s="7">
        <v>20800</v>
      </c>
      <c r="D49" s="7">
        <v>27700</v>
      </c>
      <c r="E49" s="7">
        <v>3000</v>
      </c>
      <c r="F49" s="7">
        <v>1850</v>
      </c>
      <c r="H49" s="7">
        <v>65</v>
      </c>
    </row>
    <row r="50" spans="1:8">
      <c r="A50" s="7" t="s">
        <v>20</v>
      </c>
      <c r="B50" s="7">
        <v>13825</v>
      </c>
      <c r="C50" s="7">
        <v>20800</v>
      </c>
      <c r="D50" s="7">
        <v>27650</v>
      </c>
      <c r="E50" s="7">
        <v>2900</v>
      </c>
      <c r="F50" s="7">
        <v>1850</v>
      </c>
      <c r="G50" s="7" t="s">
        <v>131</v>
      </c>
      <c r="H50" s="7">
        <v>18</v>
      </c>
    </row>
    <row r="51" spans="1:8">
      <c r="A51" s="7" t="s">
        <v>70</v>
      </c>
      <c r="B51" s="7">
        <v>4800</v>
      </c>
      <c r="H51" s="7">
        <v>65</v>
      </c>
    </row>
    <row r="52" spans="1:8">
      <c r="A52" s="7" t="s">
        <v>132</v>
      </c>
      <c r="B52" s="7">
        <v>1600</v>
      </c>
    </row>
    <row r="53" spans="1:8">
      <c r="A53" s="7" t="s">
        <v>133</v>
      </c>
      <c r="B53" s="7">
        <v>2000</v>
      </c>
      <c r="C53" s="7">
        <f>B53-B52</f>
        <v>400</v>
      </c>
    </row>
    <row r="54" spans="1:8">
      <c r="A54" s="7" t="s">
        <v>134</v>
      </c>
      <c r="B54" s="7">
        <v>500</v>
      </c>
    </row>
    <row r="56" spans="1:8">
      <c r="A56" s="7" t="s">
        <v>135</v>
      </c>
      <c r="D56" s="7">
        <v>0</v>
      </c>
      <c r="E56" s="7">
        <v>1</v>
      </c>
      <c r="F56" s="7">
        <v>2</v>
      </c>
      <c r="G56" s="7">
        <v>3</v>
      </c>
    </row>
    <row r="57" spans="1:8">
      <c r="C57" s="7" t="s">
        <v>136</v>
      </c>
      <c r="D57" s="7">
        <v>600</v>
      </c>
      <c r="E57" s="7">
        <v>3995</v>
      </c>
      <c r="F57" s="7">
        <v>6604</v>
      </c>
      <c r="G57" s="7">
        <v>7430</v>
      </c>
    </row>
    <row r="58" spans="1:8">
      <c r="B58" s="7" t="s">
        <v>137</v>
      </c>
      <c r="C58" s="7" t="s">
        <v>138</v>
      </c>
      <c r="D58" s="7">
        <v>7.6499999999999999E-2</v>
      </c>
      <c r="E58" s="7">
        <v>0.34</v>
      </c>
      <c r="F58" s="7">
        <v>0.4</v>
      </c>
      <c r="G58" s="7">
        <v>0.45</v>
      </c>
    </row>
    <row r="59" spans="1:8">
      <c r="C59" s="7" t="s">
        <v>139</v>
      </c>
      <c r="D59" s="7">
        <v>7840</v>
      </c>
      <c r="E59" s="7">
        <v>11750</v>
      </c>
      <c r="F59" s="7">
        <v>16510</v>
      </c>
      <c r="G59" s="7">
        <v>16510</v>
      </c>
    </row>
    <row r="60" spans="1:8">
      <c r="B60" s="7" t="s">
        <v>140</v>
      </c>
      <c r="C60" s="7" t="s">
        <v>141</v>
      </c>
      <c r="D60" s="7">
        <v>17640</v>
      </c>
      <c r="E60" s="7">
        <v>46560</v>
      </c>
      <c r="F60" s="7">
        <v>52918</v>
      </c>
      <c r="G60" s="7">
        <v>56838</v>
      </c>
    </row>
    <row r="61" spans="1:8">
      <c r="C61" s="7" t="s">
        <v>126</v>
      </c>
      <c r="D61" s="7">
        <v>24210</v>
      </c>
      <c r="E61" s="7">
        <v>53120</v>
      </c>
      <c r="F61" s="7">
        <v>59478</v>
      </c>
      <c r="G61" s="7">
        <v>63698</v>
      </c>
    </row>
    <row r="62" spans="1:8">
      <c r="B62" s="7" t="s">
        <v>100</v>
      </c>
      <c r="C62" s="7" t="s">
        <v>141</v>
      </c>
      <c r="D62" s="7">
        <v>9800</v>
      </c>
      <c r="E62" s="7">
        <v>21560</v>
      </c>
      <c r="F62" s="7">
        <v>21560</v>
      </c>
      <c r="G62" s="7">
        <v>21560</v>
      </c>
    </row>
    <row r="63" spans="1:8">
      <c r="C63" s="7" t="s">
        <v>126</v>
      </c>
      <c r="D63" s="7">
        <v>16370</v>
      </c>
      <c r="E63" s="7">
        <v>28120</v>
      </c>
      <c r="F63" s="7">
        <v>28120</v>
      </c>
      <c r="G63" s="7">
        <v>28120</v>
      </c>
    </row>
    <row r="64" spans="1:8">
      <c r="C64" s="7" t="s">
        <v>142</v>
      </c>
      <c r="D64" s="7">
        <v>7.6499999999999999E-2</v>
      </c>
      <c r="E64" s="7">
        <v>0.1598</v>
      </c>
      <c r="F64" s="7">
        <v>0.21060000000000001</v>
      </c>
      <c r="G64" s="7">
        <v>0.21060000000000001</v>
      </c>
    </row>
    <row r="66" spans="1:13">
      <c r="A66" s="7" t="s">
        <v>88</v>
      </c>
    </row>
    <row r="67" spans="1:13">
      <c r="B67" s="7" t="s">
        <v>90</v>
      </c>
      <c r="C67" s="7">
        <v>1750</v>
      </c>
    </row>
    <row r="68" spans="1:13">
      <c r="B68" s="7" t="s">
        <v>143</v>
      </c>
      <c r="C68" s="7">
        <v>925</v>
      </c>
      <c r="D68" s="7">
        <v>2100</v>
      </c>
      <c r="E68" s="42">
        <v>2500</v>
      </c>
      <c r="F68" s="42"/>
      <c r="G68" s="42"/>
    </row>
    <row r="69" spans="1:13">
      <c r="B69" s="7" t="s">
        <v>144</v>
      </c>
      <c r="C69" s="7">
        <v>29500</v>
      </c>
    </row>
    <row r="70" spans="1:13">
      <c r="B70" s="7" t="s">
        <v>145</v>
      </c>
      <c r="C70" s="7">
        <v>35000</v>
      </c>
    </row>
    <row r="72" spans="1:13">
      <c r="B72" s="7" t="s">
        <v>146</v>
      </c>
      <c r="C72" s="7">
        <v>350</v>
      </c>
    </row>
    <row r="73" spans="1:13">
      <c r="B73" s="7" t="s">
        <v>147</v>
      </c>
      <c r="C73" s="7">
        <v>8750</v>
      </c>
      <c r="D73" s="42"/>
      <c r="E73" s="42"/>
      <c r="F73" s="42"/>
      <c r="G73" s="42"/>
    </row>
    <row r="74" spans="1:13">
      <c r="B74" s="7" t="s">
        <v>148</v>
      </c>
      <c r="C74" s="7">
        <v>0.04</v>
      </c>
    </row>
    <row r="76" spans="1:13">
      <c r="B76" s="7" t="s">
        <v>24</v>
      </c>
      <c r="C76" s="7" t="s">
        <v>25</v>
      </c>
      <c r="D76" s="7" t="s">
        <v>26</v>
      </c>
      <c r="E76" s="7" t="s">
        <v>27</v>
      </c>
      <c r="F76" s="7" t="s">
        <v>28</v>
      </c>
      <c r="G76" s="7" t="s">
        <v>29</v>
      </c>
      <c r="H76" s="7" t="s">
        <v>30</v>
      </c>
      <c r="I76" s="7" t="s">
        <v>31</v>
      </c>
      <c r="J76" s="7" t="s">
        <v>32</v>
      </c>
      <c r="K76" s="7" t="s">
        <v>33</v>
      </c>
      <c r="L76" s="7" t="s">
        <v>34</v>
      </c>
      <c r="M76" s="7" t="s">
        <v>35</v>
      </c>
    </row>
    <row r="77" spans="1:13">
      <c r="A77" s="7" t="s">
        <v>149</v>
      </c>
      <c r="B77" s="45">
        <v>0.65500000000000003</v>
      </c>
      <c r="C77" s="45">
        <v>0.65500000000000003</v>
      </c>
      <c r="D77" s="45">
        <v>0.65500000000000003</v>
      </c>
      <c r="E77" s="45">
        <v>0.65500000000000003</v>
      </c>
      <c r="F77" s="45">
        <v>0.65500000000000003</v>
      </c>
      <c r="G77" s="45">
        <v>0.65500000000000003</v>
      </c>
      <c r="H77" s="45">
        <v>0.65500000000000003</v>
      </c>
      <c r="I77" s="45">
        <v>0.65500000000000003</v>
      </c>
      <c r="J77" s="45">
        <v>0.65500000000000003</v>
      </c>
      <c r="K77" s="45">
        <v>0.65500000000000003</v>
      </c>
      <c r="L77" s="45">
        <v>0.65500000000000003</v>
      </c>
      <c r="M77" s="45">
        <v>0.65500000000000003</v>
      </c>
    </row>
    <row r="81" spans="1:7" ht="15" thickBot="1"/>
    <row r="82" spans="1:7">
      <c r="A82" s="10" t="s">
        <v>150</v>
      </c>
      <c r="B82" s="19"/>
      <c r="C82" s="19"/>
      <c r="D82" s="19"/>
      <c r="E82" s="19"/>
      <c r="F82" s="19"/>
      <c r="G82" s="9"/>
    </row>
    <row r="83" spans="1:7">
      <c r="A83" s="21"/>
      <c r="G83" s="20"/>
    </row>
    <row r="84" spans="1:7">
      <c r="A84" s="21" t="s">
        <v>115</v>
      </c>
      <c r="B84" s="7" t="s">
        <v>112</v>
      </c>
      <c r="C84" s="7" t="s">
        <v>151</v>
      </c>
      <c r="D84" s="7" t="s">
        <v>152</v>
      </c>
      <c r="E84" s="7" t="s">
        <v>153</v>
      </c>
      <c r="F84" s="7" t="s">
        <v>126</v>
      </c>
      <c r="G84" s="20"/>
    </row>
    <row r="85" spans="1:7">
      <c r="A85" s="21"/>
      <c r="B85" s="7">
        <v>0.1</v>
      </c>
      <c r="C85" s="7">
        <v>0</v>
      </c>
      <c r="D85" s="7">
        <v>0</v>
      </c>
      <c r="E85" s="7">
        <v>0</v>
      </c>
      <c r="F85" s="7">
        <v>0</v>
      </c>
      <c r="G85" s="20"/>
    </row>
    <row r="86" spans="1:7">
      <c r="A86" s="21"/>
      <c r="B86" s="7">
        <v>0.12</v>
      </c>
      <c r="C86" s="7">
        <v>11000</v>
      </c>
      <c r="D86" s="7">
        <v>11000</v>
      </c>
      <c r="E86" s="7">
        <v>11000</v>
      </c>
      <c r="F86" s="7">
        <v>22000</v>
      </c>
      <c r="G86" s="20"/>
    </row>
    <row r="87" spans="1:7">
      <c r="A87" s="21"/>
      <c r="B87" s="7">
        <v>0.22</v>
      </c>
      <c r="C87" s="7">
        <v>44725</v>
      </c>
      <c r="D87" s="7">
        <v>44725</v>
      </c>
      <c r="E87" s="7">
        <v>44725</v>
      </c>
      <c r="F87" s="7">
        <v>89450</v>
      </c>
      <c r="G87" s="20"/>
    </row>
    <row r="88" spans="1:7">
      <c r="A88" s="21"/>
      <c r="B88" s="7">
        <v>0.24</v>
      </c>
      <c r="C88" s="7">
        <v>95375</v>
      </c>
      <c r="D88" s="7">
        <v>95375</v>
      </c>
      <c r="E88" s="7">
        <v>95375</v>
      </c>
      <c r="F88" s="7">
        <v>190750</v>
      </c>
      <c r="G88" s="20"/>
    </row>
    <row r="89" spans="1:7">
      <c r="A89" s="21"/>
      <c r="B89" s="7">
        <v>0.32</v>
      </c>
      <c r="C89" s="7">
        <v>182100</v>
      </c>
      <c r="D89" s="7">
        <v>182100</v>
      </c>
      <c r="E89" s="7">
        <v>182100</v>
      </c>
      <c r="F89" s="7">
        <v>364200</v>
      </c>
      <c r="G89" s="20"/>
    </row>
    <row r="90" spans="1:7">
      <c r="A90" s="21"/>
      <c r="B90" s="7">
        <v>0.35</v>
      </c>
      <c r="C90" s="7">
        <v>231250</v>
      </c>
      <c r="D90" s="7">
        <v>231250</v>
      </c>
      <c r="E90" s="7">
        <v>231250</v>
      </c>
      <c r="F90" s="7">
        <v>462500</v>
      </c>
      <c r="G90" s="20"/>
    </row>
    <row r="91" spans="1:7">
      <c r="A91" s="21"/>
      <c r="B91" s="7">
        <v>0.37</v>
      </c>
      <c r="C91" s="7">
        <v>578125</v>
      </c>
      <c r="D91" s="7">
        <v>578125</v>
      </c>
      <c r="E91" s="7">
        <v>578125</v>
      </c>
      <c r="F91" s="7">
        <v>693750</v>
      </c>
      <c r="G91" s="20"/>
    </row>
    <row r="92" spans="1:7">
      <c r="A92" s="21"/>
      <c r="G92" s="20"/>
    </row>
    <row r="93" spans="1:7">
      <c r="A93" s="21"/>
      <c r="G93" s="20"/>
    </row>
    <row r="94" spans="1:7">
      <c r="A94" s="21"/>
      <c r="G94" s="20"/>
    </row>
    <row r="95" spans="1:7">
      <c r="A95" s="21"/>
      <c r="B95" s="7" t="s">
        <v>112</v>
      </c>
      <c r="C95" s="7" t="s">
        <v>151</v>
      </c>
      <c r="D95" s="7" t="s">
        <v>152</v>
      </c>
      <c r="E95" s="7" t="s">
        <v>153</v>
      </c>
      <c r="F95" s="7" t="s">
        <v>126</v>
      </c>
      <c r="G95" s="20"/>
    </row>
    <row r="96" spans="1:7">
      <c r="A96" s="21" t="s">
        <v>20</v>
      </c>
      <c r="B96" s="7">
        <v>5.3499999999999999E-2</v>
      </c>
      <c r="C96" s="7">
        <v>0</v>
      </c>
      <c r="D96" s="7">
        <v>0</v>
      </c>
      <c r="E96" s="7">
        <v>0</v>
      </c>
      <c r="F96" s="7">
        <v>0</v>
      </c>
      <c r="G96" s="20"/>
    </row>
    <row r="97" spans="1:7">
      <c r="A97" s="21"/>
      <c r="B97" s="7">
        <v>6.8000000000000005E-2</v>
      </c>
      <c r="C97" s="7">
        <v>30070</v>
      </c>
      <c r="D97" s="7">
        <v>37010</v>
      </c>
      <c r="E97" s="7">
        <v>21975</v>
      </c>
      <c r="F97" s="7">
        <v>43950</v>
      </c>
      <c r="G97" s="20"/>
    </row>
    <row r="98" spans="1:7">
      <c r="A98" s="21"/>
      <c r="B98" s="7">
        <v>7.85E-2</v>
      </c>
      <c r="C98" s="7">
        <v>98760</v>
      </c>
      <c r="D98" s="7">
        <v>148730</v>
      </c>
      <c r="E98" s="7">
        <v>87305</v>
      </c>
      <c r="F98" s="7">
        <v>174610</v>
      </c>
      <c r="G98" s="20"/>
    </row>
    <row r="99" spans="1:7">
      <c r="A99" s="21"/>
      <c r="B99" s="7">
        <v>9.8500000000000004E-2</v>
      </c>
      <c r="C99" s="7">
        <v>183340</v>
      </c>
      <c r="D99" s="7">
        <v>243720</v>
      </c>
      <c r="E99" s="7">
        <v>152485</v>
      </c>
      <c r="F99" s="7">
        <v>304970</v>
      </c>
      <c r="G99" s="20"/>
    </row>
    <row r="100" spans="1:7">
      <c r="A100" s="21"/>
      <c r="G100" s="20"/>
    </row>
    <row r="101" spans="1:7">
      <c r="A101" s="21"/>
      <c r="G101" s="20"/>
    </row>
    <row r="102" spans="1:7">
      <c r="A102" s="21"/>
      <c r="G102" s="20"/>
    </row>
    <row r="103" spans="1:7">
      <c r="A103" s="21"/>
      <c r="G103" s="20"/>
    </row>
    <row r="104" spans="1:7" ht="15" thickBot="1">
      <c r="A104" s="13"/>
      <c r="B104" s="14"/>
      <c r="C104" s="14"/>
      <c r="D104" s="14"/>
      <c r="E104" s="14"/>
      <c r="F104" s="14"/>
      <c r="G104" s="15"/>
    </row>
  </sheetData>
  <mergeCells count="1">
    <mergeCell ref="P1:Q1"/>
  </mergeCells>
  <phoneticPr fontId="16"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0507235-64d1-4515-bd1b-e33acebc7b6d" xsi:nil="true"/>
    <lcf76f155ced4ddcb4097134ff3c332f xmlns="2027e229-5934-47e3-9802-bc5c4160fd61">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610C9B8BB10A448BB71CDEE94350DE6" ma:contentTypeVersion="19" ma:contentTypeDescription="Create a new document." ma:contentTypeScope="" ma:versionID="12afa554721e25bd3655adfc12065ce4">
  <xsd:schema xmlns:xsd="http://www.w3.org/2001/XMLSchema" xmlns:xs="http://www.w3.org/2001/XMLSchema" xmlns:p="http://schemas.microsoft.com/office/2006/metadata/properties" xmlns:ns1="http://schemas.microsoft.com/sharepoint/v3" xmlns:ns2="2027e229-5934-47e3-9802-bc5c4160fd61" xmlns:ns3="c0507235-64d1-4515-bd1b-e33acebc7b6d" targetNamespace="http://schemas.microsoft.com/office/2006/metadata/properties" ma:root="true" ma:fieldsID="babe10260e164d44c70d2a81fec3212f" ns1:_="" ns2:_="" ns3:_="">
    <xsd:import namespace="http://schemas.microsoft.com/sharepoint/v3"/>
    <xsd:import namespace="2027e229-5934-47e3-9802-bc5c4160fd61"/>
    <xsd:import namespace="c0507235-64d1-4515-bd1b-e33acebc7b6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element ref="ns1:_ip_UnifiedCompliancePolicyProperties" minOccurs="0"/>
                <xsd:element ref="ns1:_ip_UnifiedCompliancePolicyUIAc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027e229-5934-47e3-9802-bc5c4160fd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d379292-a808-41c6-af86-772101143df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0507235-64d1-4515-bd1b-e33acebc7b6d"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2037ceac-4584-4ada-b45f-1b92a138a6d5}" ma:internalName="TaxCatchAll" ma:showField="CatchAllData" ma:web="c0507235-64d1-4515-bd1b-e33acebc7b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C74AB6-1D91-4CCA-A830-E5734A2E3B10}">
  <ds:schemaRefs>
    <ds:schemaRef ds:uri="http://schemas.microsoft.com/office/2006/metadata/properties"/>
    <ds:schemaRef ds:uri="http://schemas.microsoft.com/office/infopath/2007/PartnerControls"/>
    <ds:schemaRef ds:uri="c0507235-64d1-4515-bd1b-e33acebc7b6d"/>
    <ds:schemaRef ds:uri="2027e229-5934-47e3-9802-bc5c4160fd61"/>
    <ds:schemaRef ds:uri="http://schemas.microsoft.com/sharepoint/v3"/>
  </ds:schemaRefs>
</ds:datastoreItem>
</file>

<file path=customXml/itemProps2.xml><?xml version="1.0" encoding="utf-8"?>
<ds:datastoreItem xmlns:ds="http://schemas.openxmlformats.org/officeDocument/2006/customXml" ds:itemID="{A690B880-8E93-4CCB-8CEC-25F8F6209C6A}">
  <ds:schemaRefs>
    <ds:schemaRef ds:uri="http://schemas.microsoft.com/sharepoint/v3/contenttype/forms"/>
  </ds:schemaRefs>
</ds:datastoreItem>
</file>

<file path=customXml/itemProps3.xml><?xml version="1.0" encoding="utf-8"?>
<ds:datastoreItem xmlns:ds="http://schemas.openxmlformats.org/officeDocument/2006/customXml" ds:itemID="{5CD65D8E-0CB5-48C8-B283-6CD989C133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027e229-5934-47e3-9802-bc5c4160fd61"/>
    <ds:schemaRef ds:uri="c0507235-64d1-4515-bd1b-e33acebc7b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IncomeExpense Sheet</vt:lpstr>
      <vt:lpstr>Math Sheet Hidden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Thomas Larson</dc:creator>
  <cp:keywords/>
  <dc:description/>
  <cp:lastModifiedBy>Patrick Evans</cp:lastModifiedBy>
  <cp:revision/>
  <dcterms:created xsi:type="dcterms:W3CDTF">2015-10-06T16:38:00Z</dcterms:created>
  <dcterms:modified xsi:type="dcterms:W3CDTF">2023-08-18T15:11:25Z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0x010100C610C9B8BB10A448BB71CDEE94350DE6</vt:lpwstr>
  </property>
  <property fmtid="{D5CDD505-2E9C-101B-9397-08002B2CF9AE}" pid="3" name="MediaServiceImageTags">
    <vt:lpwstr/>
  </property>
</Properties>
</file>